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jjohnson\Downloads\"/>
    </mc:Choice>
  </mc:AlternateContent>
  <xr:revisionPtr revIDLastSave="0" documentId="13_ncr:1_{6334A75E-D531-469D-948B-A6B5B204D42B}" xr6:coauthVersionLast="47" xr6:coauthVersionMax="47" xr10:uidLastSave="{00000000-0000-0000-0000-000000000000}"/>
  <workbookProtection workbookAlgorithmName="SHA-512" workbookHashValue="ThdEEfDphR6uzn0P2OdmE4khrzUcpgt/1r0PD7NVf/I2OYXhhag0vdnVjvwVNDQ4TeLcbNbRYLqH1kHEK5VkxQ==" workbookSaltValue="65jGeocoUrpZVOKjbsquQA==" workbookSpinCount="100000" lockStructure="1"/>
  <bookViews>
    <workbookView xWindow="-108" yWindow="-108" windowWidth="23256" windowHeight="12456" firstSheet="1" activeTab="1" xr2:uid="{82092919-7CE7-47DB-9637-8698A9136D4F}"/>
  </bookViews>
  <sheets>
    <sheet name="Schedule" sheetId="1" state="hidden" r:id="rId1"/>
    <sheet name="Estimator" sheetId="4" r:id="rId2"/>
    <sheet name="Math" sheetId="5" state="hidden" r:id="rId3"/>
    <sheet name="Combined" sheetId="3" state="hidden" r:id="rId4"/>
    <sheet name="List" sheetId="2" state="hidden" r:id="rId5"/>
  </sheets>
  <definedNames>
    <definedName name="Category">Estimator!$C$15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3" l="1"/>
  <c r="B33" i="3"/>
  <c r="B32" i="3"/>
  <c r="B31" i="3"/>
  <c r="B30" i="3"/>
  <c r="B29" i="3"/>
  <c r="B28" i="3"/>
  <c r="B27" i="3"/>
  <c r="B26" i="3"/>
  <c r="B25" i="3"/>
  <c r="B24" i="3"/>
  <c r="B23" i="3"/>
  <c r="B22" i="3"/>
  <c r="B21" i="3"/>
  <c r="B20" i="3"/>
  <c r="B13" i="3"/>
  <c r="B12" i="3"/>
  <c r="B11" i="3"/>
  <c r="B10" i="3"/>
  <c r="B170" i="1"/>
  <c r="B169" i="1"/>
  <c r="B168" i="1"/>
  <c r="B167" i="1"/>
  <c r="B166" i="1"/>
  <c r="B165" i="1"/>
  <c r="B164" i="1"/>
  <c r="B163" i="1"/>
  <c r="B162" i="1"/>
  <c r="B161" i="1"/>
  <c r="B160" i="1"/>
  <c r="B159" i="1"/>
  <c r="B158" i="1"/>
  <c r="B157" i="1"/>
  <c r="B156" i="1"/>
  <c r="B138" i="1"/>
  <c r="B152" i="1"/>
  <c r="B151" i="1"/>
  <c r="B150" i="1"/>
  <c r="B149" i="1"/>
  <c r="B148" i="1"/>
  <c r="B147" i="1"/>
  <c r="B146" i="1"/>
  <c r="B145" i="1"/>
  <c r="B144" i="1"/>
  <c r="B143" i="1"/>
  <c r="B142" i="1"/>
  <c r="B141" i="1"/>
  <c r="B140" i="1"/>
  <c r="B139" i="1"/>
  <c r="B133" i="1"/>
  <c r="B120" i="1"/>
  <c r="B134" i="1"/>
  <c r="B132" i="1"/>
  <c r="B131" i="1"/>
  <c r="B130" i="1"/>
  <c r="B129" i="1"/>
  <c r="B128" i="1"/>
  <c r="B127" i="1"/>
  <c r="B126" i="1"/>
  <c r="B125" i="1"/>
  <c r="B124" i="1"/>
  <c r="B123" i="1"/>
  <c r="B122" i="1"/>
  <c r="B121" i="1"/>
  <c r="B115" i="1"/>
  <c r="B114" i="1"/>
  <c r="B113" i="1"/>
  <c r="B112" i="1"/>
  <c r="B111" i="1"/>
  <c r="B110" i="1"/>
  <c r="B109" i="1"/>
  <c r="B108" i="1"/>
  <c r="B107" i="1"/>
  <c r="B106" i="1"/>
  <c r="B105" i="1"/>
  <c r="B104" i="1"/>
  <c r="B103" i="1"/>
  <c r="B102" i="1"/>
  <c r="B101" i="1"/>
  <c r="B97" i="1"/>
  <c r="B96" i="1"/>
  <c r="B95" i="1"/>
  <c r="B94" i="1"/>
  <c r="B93" i="1"/>
  <c r="B92" i="1"/>
  <c r="B91" i="1"/>
  <c r="B90" i="1"/>
  <c r="B89" i="1"/>
  <c r="B88" i="1"/>
  <c r="B87" i="1"/>
  <c r="B86" i="1"/>
  <c r="B85" i="1"/>
  <c r="B84" i="1"/>
  <c r="B83" i="1"/>
  <c r="B79" i="1"/>
  <c r="B78" i="1"/>
  <c r="B77" i="1"/>
  <c r="B76" i="1"/>
  <c r="B75" i="1"/>
  <c r="B74" i="1"/>
  <c r="B73" i="1"/>
  <c r="B72" i="1"/>
  <c r="B71" i="1"/>
  <c r="B70" i="1"/>
  <c r="B69" i="1"/>
  <c r="B68" i="1"/>
  <c r="B67" i="1"/>
  <c r="B66" i="1"/>
  <c r="B65" i="1"/>
  <c r="B49" i="1"/>
  <c r="B48" i="1"/>
  <c r="B47" i="1"/>
  <c r="B46" i="1"/>
  <c r="B39" i="1"/>
  <c r="B42" i="1"/>
  <c r="B41" i="1"/>
  <c r="B40" i="1"/>
  <c r="F23" i="4" l="1"/>
  <c r="B5" i="5"/>
  <c r="B8" i="5"/>
  <c r="B2" i="5" l="1"/>
  <c r="J6" i="5"/>
  <c r="J9" i="5"/>
  <c r="J10" i="5"/>
  <c r="J13" i="5"/>
  <c r="J14" i="5"/>
  <c r="J17" i="5"/>
  <c r="J18" i="5"/>
  <c r="J21" i="5"/>
  <c r="J22" i="5"/>
  <c r="B21" i="5"/>
  <c r="B20" i="5"/>
  <c r="B17" i="5"/>
  <c r="B16" i="5"/>
  <c r="B13" i="5"/>
  <c r="B12" i="5"/>
  <c r="B9" i="5"/>
  <c r="B4" i="5"/>
  <c r="E4" i="5" s="1"/>
  <c r="B23" i="5" l="1"/>
  <c r="B3" i="5"/>
  <c r="I3" i="5" s="1"/>
  <c r="B15" i="5"/>
  <c r="C16" i="5" s="1"/>
  <c r="G16" i="5" s="1"/>
  <c r="B11" i="5"/>
  <c r="C12" i="5" s="1"/>
  <c r="B7" i="5"/>
  <c r="B19" i="5"/>
  <c r="C20" i="5" s="1"/>
  <c r="G20" i="5" s="1"/>
  <c r="G4" i="5"/>
  <c r="H4" i="5"/>
  <c r="I4" i="5"/>
  <c r="D4" i="5"/>
  <c r="F4" i="5"/>
  <c r="G3" i="5" l="1"/>
  <c r="G5" i="5" s="1"/>
  <c r="D12" i="5"/>
  <c r="G12" i="5"/>
  <c r="C8" i="5"/>
  <c r="G8" i="5" s="1"/>
  <c r="B25" i="5"/>
  <c r="C15" i="5"/>
  <c r="F3" i="5"/>
  <c r="F5" i="5" s="1"/>
  <c r="D3" i="5"/>
  <c r="I5" i="5"/>
  <c r="I25" i="5" s="1"/>
  <c r="E3" i="5"/>
  <c r="E5" i="5" s="1"/>
  <c r="H3" i="5"/>
  <c r="H5" i="5" s="1"/>
  <c r="H25" i="5" s="1"/>
  <c r="F21" i="4" s="1"/>
  <c r="D20" i="5"/>
  <c r="E12" i="5"/>
  <c r="F12" i="5"/>
  <c r="D16" i="5"/>
  <c r="F16" i="5"/>
  <c r="E16" i="5"/>
  <c r="F20" i="5"/>
  <c r="J4" i="5"/>
  <c r="D8" i="5"/>
  <c r="F8" i="5"/>
  <c r="E8" i="5"/>
  <c r="C19" i="5" l="1"/>
  <c r="F19" i="5" s="1"/>
  <c r="J3" i="5"/>
  <c r="C11" i="5"/>
  <c r="F11" i="5" s="1"/>
  <c r="C7" i="5"/>
  <c r="D5" i="5"/>
  <c r="E20" i="5"/>
  <c r="J20" i="5" s="1"/>
  <c r="J12" i="5"/>
  <c r="J16" i="5"/>
  <c r="F15" i="5"/>
  <c r="J8" i="5"/>
  <c r="J5" i="5" l="1"/>
  <c r="D7" i="5"/>
  <c r="C23" i="5"/>
  <c r="F7" i="5"/>
  <c r="E7" i="5"/>
  <c r="G7" i="5"/>
  <c r="E11" i="5"/>
  <c r="G11" i="5"/>
  <c r="D11" i="5"/>
  <c r="G15" i="5"/>
  <c r="D15" i="5"/>
  <c r="E15" i="5"/>
  <c r="D19" i="5"/>
  <c r="E19" i="5"/>
  <c r="G19" i="5"/>
  <c r="G23" i="5" l="1"/>
  <c r="G25" i="5" s="1"/>
  <c r="F19" i="4" s="1"/>
  <c r="E23" i="5"/>
  <c r="E25" i="5" s="1"/>
  <c r="F15" i="4" s="1"/>
  <c r="F23" i="5"/>
  <c r="F25" i="5" s="1"/>
  <c r="F17" i="4" s="1"/>
  <c r="D23" i="5"/>
  <c r="D25" i="5" s="1"/>
  <c r="J7" i="5"/>
  <c r="J11" i="5"/>
  <c r="J15" i="5"/>
  <c r="J19" i="5"/>
  <c r="F26" i="4" l="1"/>
  <c r="J23" i="5"/>
  <c r="J25" i="5" s="1"/>
</calcChain>
</file>

<file path=xl/sharedStrings.xml><?xml version="1.0" encoding="utf-8"?>
<sst xmlns="http://schemas.openxmlformats.org/spreadsheetml/2006/main" count="427" uniqueCount="143">
  <si>
    <t>• This includes new office buildings, new homes, building remodels and additions like studios, commercial storage facilities or other detached residential accessory structures. Greenhouses and barns and detached storage are not likely to generate impact and do not require impact fees.</t>
  </si>
  <si>
    <t>• In general, buildings or constructions that add an increased demand for services from government (like more administrative space, fire engines to respond to emergencies, trail maintenance for increased use due to population growth, etc).</t>
  </si>
  <si>
    <t>• Impact fee development categories are defined as follows:</t>
  </si>
  <si>
    <t>COMMERCIAL/
RETAIL</t>
  </si>
  <si>
    <t>Establishments primarily selling merchandise, eating/drinking places and services. Examples include retail uses: shopping centers, supermarkets, pharmacies, restaurants, bars, nightclubs, automobile dealerships. Services examples include movie theaters, repair, health clubs, beauty, hotels and motels. Corresponds to Institute of Transportation Engineers ITE (11th Edition) land uses 300-320, 810-971.</t>
  </si>
  <si>
    <t>INDUSTRIAL</t>
  </si>
  <si>
    <t>Establishments primarily engaged in the production, transportation or storage of goods. Examples include manufacturing plants, distribution warehouses, long-term storage, trucking and logistics. Also includes construction, utility, power generation facilities and telecommunications buildings. Corresponds to ITE (11th Edition) land uses 100-180.</t>
  </si>
  <si>
    <t>INSTITUTIONAL</t>
  </si>
  <si>
    <t>Establishments providing education and healthcare services. Examples include universities, nursing homes, daycare facilities and hospitals. Corresponds to ITE (11th Edition) land uses 520-650.</t>
  </si>
  <si>
    <t>OFFICE</t>
  </si>
  <si>
    <t>Establishments providing management, administrative, professional or business services. Examples include medical/dental offices and business offices. Corresponds to ITE (11th Edition) land uses 700-731.</t>
  </si>
  <si>
    <t>RESIDENTIAL</t>
  </si>
  <si>
    <t>Any building, structure use or development designed, intended or used as a dwelling unit or its accessory buildings, or that results in the expansion of a dwelling unit or units.</t>
  </si>
  <si>
    <t>NON-RESIDENTIAL IMPACT FEES</t>
  </si>
  <si>
    <t>LOCATED WITHIN MISSOULA COUNTY - OUTSIDE FRENCHTOWN RURAL FIRE DISTRICT</t>
  </si>
  <si>
    <t>CATEGORY</t>
  </si>
  <si>
    <t>TOTAL</t>
  </si>
  <si>
    <t>SHERIFF</t>
  </si>
  <si>
    <t>Industrial</t>
  </si>
  <si>
    <t>Institutional</t>
  </si>
  <si>
    <t>Retail/Commercial</t>
  </si>
  <si>
    <t>Office</t>
  </si>
  <si>
    <t>LOCATED WITHIN FRENCHTOWN RURAL FIRE DISTRICT</t>
  </si>
  <si>
    <t>*For mixed used buildings - for example retail and office - please contact the Planning, Development &amp; Sustainability Department</t>
  </si>
  <si>
    <t>RESIDENTIAL IMPACT FEES</t>
  </si>
  <si>
    <t>LOCATED WITHIN BONNER SERVICE AREA</t>
  </si>
  <si>
    <t>SQUARE FOOTAGE</t>
  </si>
  <si>
    <t xml:space="preserve">SHERIFF </t>
  </si>
  <si>
    <t>SHARED USE PATHS</t>
  </si>
  <si>
    <t>PARKS</t>
  </si>
  <si>
    <r>
      <t xml:space="preserve">Residential </t>
    </r>
    <r>
      <rPr>
        <sz val="11"/>
        <color theme="1"/>
        <rFont val="Calibri"/>
        <family val="2"/>
      </rPr>
      <t>≤</t>
    </r>
    <r>
      <rPr>
        <sz val="11"/>
        <color theme="1"/>
        <rFont val="Calibri"/>
        <family val="2"/>
        <scheme val="minor"/>
      </rPr>
      <t>750</t>
    </r>
  </si>
  <si>
    <t>Residential 751-1000</t>
  </si>
  <si>
    <t>Residential 1001-1250</t>
  </si>
  <si>
    <t>Residential 1251-1500</t>
  </si>
  <si>
    <t>Residential 1501-1750</t>
  </si>
  <si>
    <t>Residential 1751-2000</t>
  </si>
  <si>
    <t>Residential 2001-2250</t>
  </si>
  <si>
    <t>Residential 2251-2500</t>
  </si>
  <si>
    <t>Residential 2501-2750</t>
  </si>
  <si>
    <t>Residential 2751-3000</t>
  </si>
  <si>
    <t>Residential 3001-3250</t>
  </si>
  <si>
    <t>Residential 3521-3500</t>
  </si>
  <si>
    <t>Residential 3501-3750</t>
  </si>
  <si>
    <t>Residential 3751-4000</t>
  </si>
  <si>
    <t>Residential 4001+</t>
  </si>
  <si>
    <t>LOCATED WITHIN CENTRAL MISSOULA SERVICE AREA</t>
  </si>
  <si>
    <t>LOCATED WITHIN FRENCHTOWN SERVICE AREA - OUTSIDE FRENCHTOWN RURAL FIRE DISTRICT</t>
  </si>
  <si>
    <t>LOCATED WITHIN FRENCHTOWN SERVICE AREA AND FRENCHTOWN RURAL FIRE DISTRICT</t>
  </si>
  <si>
    <t>LOCATED WITHIN LOLO SERVICE AREA</t>
  </si>
  <si>
    <t>LOCATED WITHIN SEELEY SERVICE AREA</t>
  </si>
  <si>
    <t>CATEGORY:</t>
  </si>
  <si>
    <t>Residential</t>
  </si>
  <si>
    <t>PAYING BY CREDIT CARD:</t>
  </si>
  <si>
    <t>No</t>
  </si>
  <si>
    <t>CLICK HERE</t>
  </si>
  <si>
    <t>LOCATED WITHIN FRENCHTOWN FIRE DISTRICT?</t>
  </si>
  <si>
    <t>SERVICE AREA:</t>
  </si>
  <si>
    <t>Seeley</t>
  </si>
  <si>
    <t>PROPOSED (SQ.FT.)</t>
  </si>
  <si>
    <t>EXISTING (SQ.FT.)</t>
  </si>
  <si>
    <t>RETAIL/
COMMERCIAL</t>
  </si>
  <si>
    <t>SQ.FT.</t>
  </si>
  <si>
    <t xml:space="preserve">PERCENT </t>
  </si>
  <si>
    <t>GENERAL GOVERNMENT</t>
  </si>
  <si>
    <t>EMERGENCY SERVICES</t>
  </si>
  <si>
    <t>FRENCHTOWN FIRE:</t>
  </si>
  <si>
    <t>Total Sq.Ft.</t>
  </si>
  <si>
    <r>
      <t>Residential Sq.Ft. Determination (</t>
    </r>
    <r>
      <rPr>
        <b/>
        <sz val="11"/>
        <color theme="1"/>
        <rFont val="Calibri"/>
        <family val="2"/>
        <scheme val="minor"/>
      </rPr>
      <t>Total Sq.Ft.</t>
    </r>
    <r>
      <rPr>
        <sz val="11"/>
        <color theme="1"/>
        <rFont val="Calibri"/>
        <family val="2"/>
        <scheme val="minor"/>
      </rPr>
      <t>)</t>
    </r>
  </si>
  <si>
    <r>
      <t>Residential Sq.Ft. Determination (</t>
    </r>
    <r>
      <rPr>
        <b/>
        <sz val="11"/>
        <color theme="1"/>
        <rFont val="Calibri"/>
        <family val="2"/>
        <scheme val="minor"/>
      </rPr>
      <t>Existing Sq.Ft.</t>
    </r>
    <r>
      <rPr>
        <sz val="11"/>
        <color theme="1"/>
        <rFont val="Calibri"/>
        <family val="2"/>
        <scheme val="minor"/>
      </rPr>
      <t>)</t>
    </r>
  </si>
  <si>
    <t>Difference</t>
  </si>
  <si>
    <t>Proposed Sq.Ft. Determination</t>
  </si>
  <si>
    <t>Existing Sq.Ft. Determination</t>
  </si>
  <si>
    <t>RETAIL/COMMERCIAL</t>
  </si>
  <si>
    <t>NON-RESIDENTIAL TOTAL</t>
  </si>
  <si>
    <t>Total Additional Sq.Ft.</t>
  </si>
  <si>
    <t>LOCATED WITHIN MISSOULA COUNTY AND CITY OF MISSOULA</t>
  </si>
  <si>
    <t>COUNTY SHERIFF</t>
  </si>
  <si>
    <t>COUNTY EMER-
GENCY 
MANAGEMENT</t>
  </si>
  <si>
    <t>CITY IMPACT FEES COMBINED (per 1,000 sq.ft.)</t>
  </si>
  <si>
    <t>LOCATED WITHIN CENTRAL MISSOULA SERVICE AREA AND CITY OF MISSOULA</t>
  </si>
  <si>
    <t xml:space="preserve">COUNTY SHERIFF </t>
  </si>
  <si>
    <t>COUNTY EMER-GENCY 
MANAGEMENT</t>
  </si>
  <si>
    <t>CITY IMPACT FEES COMBINED</t>
  </si>
  <si>
    <t>NONRESIDENTIAL</t>
  </si>
  <si>
    <t>EMERGENCY MANAGEMENT</t>
  </si>
  <si>
    <t>FRENCHTOWN FIRE DISTRICT</t>
  </si>
  <si>
    <t>Residential &lt;750</t>
  </si>
  <si>
    <r>
      <rPr>
        <sz val="11"/>
        <color theme="1"/>
        <rFont val="Calibri"/>
        <family val="2"/>
      </rPr>
      <t>≤</t>
    </r>
    <r>
      <rPr>
        <sz val="11"/>
        <color theme="1"/>
        <rFont val="Calibri"/>
        <family val="2"/>
        <scheme val="minor"/>
      </rPr>
      <t>750</t>
    </r>
  </si>
  <si>
    <t>751-1000</t>
  </si>
  <si>
    <t>1001-1250</t>
  </si>
  <si>
    <t>1251-1500</t>
  </si>
  <si>
    <t>1501-1750</t>
  </si>
  <si>
    <t>1751-2000</t>
  </si>
  <si>
    <t>2001-2250</t>
  </si>
  <si>
    <t>2251-2500</t>
  </si>
  <si>
    <t>2501-2750</t>
  </si>
  <si>
    <t>2751-3000</t>
  </si>
  <si>
    <t>3001-3250</t>
  </si>
  <si>
    <t>3251-3500</t>
  </si>
  <si>
    <t>3501-3750</t>
  </si>
  <si>
    <t>3751-4000</t>
  </si>
  <si>
    <t>4001+</t>
  </si>
  <si>
    <t>SHARED-USE PATH</t>
  </si>
  <si>
    <t>Bonner/East Missoula</t>
  </si>
  <si>
    <t>Central Missoula</t>
  </si>
  <si>
    <t>Frenchtown</t>
  </si>
  <si>
    <t>Lolo</t>
  </si>
  <si>
    <t>Mixed</t>
  </si>
  <si>
    <t>CREDIT CARD</t>
  </si>
  <si>
    <t>Yes</t>
  </si>
  <si>
    <t>SERVICE AREA</t>
  </si>
  <si>
    <t>SQ.FT. FROM</t>
  </si>
  <si>
    <t>SQ.FT. TO</t>
  </si>
  <si>
    <t xml:space="preserve">SECTION A </t>
  </si>
  <si>
    <t>To be completed by all applicants</t>
  </si>
  <si>
    <t>SECTION B</t>
  </si>
  <si>
    <t>To be completed by all applicants to determine if property is located within Frenchtown Fire District</t>
  </si>
  <si>
    <t>SECTION D</t>
  </si>
  <si>
    <t xml:space="preserve"> SERVICE AREA LOOKUP LINK:</t>
  </si>
  <si>
    <t>FIRE DISTRICT LOOKUP LINK:</t>
  </si>
  <si>
    <t>SECTION C</t>
  </si>
  <si>
    <t>Complete Section B if applicable.</t>
  </si>
  <si>
    <t>EMERGENCY MANAGEMENT:</t>
  </si>
  <si>
    <t>SHERIFF:</t>
  </si>
  <si>
    <t>FRENCHTOWN FIRE DISTRICT:</t>
  </si>
  <si>
    <r>
      <t xml:space="preserve">TOTAL ESTIMATED FEE:                         </t>
    </r>
    <r>
      <rPr>
        <sz val="12"/>
        <color theme="1"/>
        <rFont val="Avenir Next LT Pro Light"/>
        <family val="2"/>
      </rPr>
      <t>Total estimated fee due, including 5% administrative fee and 3.2% credit card fee if applicable</t>
    </r>
  </si>
  <si>
    <t>Automatically calculated impcat fees based on input from sections A, B and C</t>
  </si>
  <si>
    <t>2025 IMPACT FEE ESTIMATOR MIXED USE</t>
  </si>
  <si>
    <t>For new development building permits and land use/zoning compliance permits completed after Oct. 1, 2025. This worksheet is a NON-BINDING ESTIMATE.</t>
  </si>
  <si>
    <t xml:space="preserve">Complete Section A and C by selecting an answer in the green box. </t>
  </si>
  <si>
    <r>
      <t xml:space="preserve">CREDIT CARD FEE:        </t>
    </r>
    <r>
      <rPr>
        <sz val="12"/>
        <color theme="1"/>
        <rFont val="Avenir Next LT Pro Light"/>
        <family val="2"/>
      </rPr>
      <t>3.2% of total impact and administrative fees. Applied only to credit card payments.</t>
    </r>
  </si>
  <si>
    <r>
      <t xml:space="preserve">IMPACT FEE SCHEDULE
</t>
    </r>
    <r>
      <rPr>
        <sz val="11"/>
        <color rgb="FF395F6F"/>
        <rFont val="Avenir Next LT Pro"/>
        <family val="2"/>
      </rPr>
      <t>Effective October 1, 2025</t>
    </r>
    <r>
      <rPr>
        <b/>
        <sz val="16"/>
        <color rgb="FF395F6F"/>
        <rFont val="Avenir Next LT Pro"/>
        <family val="2"/>
      </rPr>
      <t xml:space="preserve">
</t>
    </r>
    <r>
      <rPr>
        <sz val="11"/>
        <color rgb="FF395F6F"/>
        <rFont val="Avenir Next LT Pro"/>
        <family val="2"/>
      </rPr>
      <t>*does not include card processing fee if applicable</t>
    </r>
  </si>
  <si>
    <r>
      <t>PER RESOLUTION 2025-091</t>
    </r>
    <r>
      <rPr>
        <sz val="16"/>
        <color rgb="FF395F6F"/>
        <rFont val="Avenir Next LT Pro"/>
        <family val="2"/>
      </rPr>
      <t xml:space="preserve"> Impact fees apply to all new developments (commercial, industrial, institutional, office and residential).</t>
    </r>
  </si>
  <si>
    <t>EMERGENCY 
MANAGEMENT</t>
  </si>
  <si>
    <t>FRENCHTOWN 
FIRE</t>
  </si>
  <si>
    <t>TRANSPORTATION  SHARED USE PATHS</t>
  </si>
  <si>
    <t>TRANSPORTATION SHARED USE PATHS</t>
  </si>
  <si>
    <t>FRENCHTOWN
FIRE</t>
  </si>
  <si>
    <t>COUNTY TRANSPORTATION - SHARED USE PATHS</t>
  </si>
  <si>
    <t>TRANSPORTATION-SHARED-USE PATH</t>
  </si>
  <si>
    <r>
      <rPr>
        <strike/>
        <sz val="11"/>
        <color theme="1"/>
        <rFont val="Calibri"/>
        <family val="2"/>
      </rPr>
      <t>≤</t>
    </r>
    <r>
      <rPr>
        <strike/>
        <sz val="11"/>
        <color theme="1"/>
        <rFont val="Calibri"/>
        <family val="2"/>
        <scheme val="minor"/>
      </rPr>
      <t>750</t>
    </r>
  </si>
  <si>
    <t>TRANSPORTATION-SHARED USE PATH:</t>
  </si>
  <si>
    <t>Bonner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</si>
</sst>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38" x14ac:knownFonts="1">
    <font>
      <sz val="11"/>
      <color theme="1"/>
      <name val="Calibri"/>
      <family val="2"/>
      <scheme val="minor"/>
    </font>
    <font>
      <b/>
      <sz val="11"/>
      <color theme="1"/>
      <name val="Calibri"/>
      <family val="2"/>
      <scheme val="minor"/>
    </font>
    <font>
      <b/>
      <sz val="16"/>
      <color rgb="FF395F6F"/>
      <name val="Avenir Next LT Pro"/>
      <family val="2"/>
    </font>
    <font>
      <b/>
      <sz val="14"/>
      <color rgb="FFACB55C"/>
      <name val="Avenir Next LT Pro"/>
      <family val="2"/>
    </font>
    <font>
      <sz val="11"/>
      <name val="Calibri"/>
      <family val="2"/>
      <scheme val="minor"/>
    </font>
    <font>
      <b/>
      <sz val="12"/>
      <color theme="1"/>
      <name val="Avenir Next LT Pro"/>
      <family val="2"/>
    </font>
    <font>
      <sz val="11"/>
      <color rgb="FF395F6F"/>
      <name val="Avenir Next LT Pro"/>
      <family val="2"/>
    </font>
    <font>
      <sz val="11"/>
      <color theme="1"/>
      <name val="Calibri"/>
      <family val="2"/>
    </font>
    <font>
      <sz val="11"/>
      <color theme="1"/>
      <name val="Avenir Next LT Pro Light"/>
      <family val="2"/>
    </font>
    <font>
      <sz val="16"/>
      <color rgb="FF395F6F"/>
      <name val="Avenir Next LT Pro"/>
      <family val="2"/>
    </font>
    <font>
      <sz val="10"/>
      <color rgb="FF395F6F"/>
      <name val="Avenir Next LT Pro"/>
      <family val="2"/>
    </font>
    <font>
      <b/>
      <sz val="10"/>
      <color rgb="FF395F6F"/>
      <name val="Avenir Next LT Pro"/>
      <family val="2"/>
    </font>
    <font>
      <b/>
      <sz val="11"/>
      <color theme="0"/>
      <name val="Calibri"/>
      <family val="2"/>
      <scheme val="minor"/>
    </font>
    <font>
      <u/>
      <sz val="11"/>
      <color theme="10"/>
      <name val="Calibri"/>
      <family val="2"/>
      <scheme val="minor"/>
    </font>
    <font>
      <b/>
      <sz val="11"/>
      <color theme="1"/>
      <name val="Avenir Next LT Pro Light"/>
      <family val="2"/>
    </font>
    <font>
      <b/>
      <sz val="11"/>
      <color theme="0"/>
      <name val="Avenir Next LT Pro Light"/>
      <family val="2"/>
    </font>
    <font>
      <b/>
      <sz val="16"/>
      <color theme="1"/>
      <name val="Avenir Next LT Pro"/>
      <family val="2"/>
    </font>
    <font>
      <sz val="12"/>
      <color theme="1"/>
      <name val="Calibri"/>
      <family val="2"/>
      <scheme val="minor"/>
    </font>
    <font>
      <sz val="14"/>
      <color theme="1"/>
      <name val="Calibri"/>
      <family val="2"/>
      <scheme val="minor"/>
    </font>
    <font>
      <sz val="18"/>
      <color theme="1"/>
      <name val="Calibri"/>
      <family val="2"/>
      <scheme val="minor"/>
    </font>
    <font>
      <sz val="20"/>
      <color theme="0"/>
      <name val="Avenir Next LT Pro"/>
      <family val="2"/>
    </font>
    <font>
      <b/>
      <sz val="20"/>
      <color theme="0"/>
      <name val="Avenir Next LT Pro Light"/>
      <family val="2"/>
    </font>
    <font>
      <sz val="9"/>
      <color theme="1"/>
      <name val="Calibri"/>
      <family val="2"/>
      <scheme val="minor"/>
    </font>
    <font>
      <b/>
      <sz val="14"/>
      <color theme="0"/>
      <name val="Calibri"/>
      <family val="2"/>
      <scheme val="minor"/>
    </font>
    <font>
      <b/>
      <sz val="12"/>
      <color theme="1"/>
      <name val="Avenir Next LT Pro Light"/>
      <family val="2"/>
    </font>
    <font>
      <sz val="12"/>
      <color theme="1"/>
      <name val="Avenir Next LT Pro Light"/>
      <family val="2"/>
    </font>
    <font>
      <sz val="16"/>
      <color theme="1"/>
      <name val="Calibri"/>
      <family val="2"/>
      <scheme val="minor"/>
    </font>
    <font>
      <sz val="12"/>
      <name val="Avenir Next LT Pro"/>
      <family val="2"/>
    </font>
    <font>
      <b/>
      <sz val="18"/>
      <color theme="1"/>
      <name val="Avenir Next LT Pro"/>
      <family val="2"/>
    </font>
    <font>
      <b/>
      <u/>
      <sz val="14"/>
      <color theme="4"/>
      <name val="Avenir Next LT Pro"/>
      <family val="2"/>
    </font>
    <font>
      <b/>
      <sz val="14"/>
      <color theme="1"/>
      <name val="Avenir Next LT Pro Light"/>
      <family val="2"/>
    </font>
    <font>
      <b/>
      <u/>
      <sz val="14"/>
      <color theme="10"/>
      <name val="Avenir Next LT Pro"/>
      <family val="2"/>
    </font>
    <font>
      <b/>
      <sz val="14"/>
      <color theme="1"/>
      <name val="Calibri"/>
      <family val="2"/>
      <scheme val="minor"/>
    </font>
    <font>
      <sz val="16"/>
      <color theme="1"/>
      <name val="Avenir Next LT Pro"/>
      <family val="2"/>
    </font>
    <font>
      <strike/>
      <sz val="11"/>
      <color theme="1"/>
      <name val="Calibri"/>
      <family val="2"/>
      <scheme val="minor"/>
    </font>
    <font>
      <b/>
      <strike/>
      <sz val="11"/>
      <color theme="1"/>
      <name val="Calibri"/>
      <family val="2"/>
      <scheme val="minor"/>
    </font>
    <font>
      <strike/>
      <sz val="11"/>
      <color theme="1"/>
      <name val="Calibri"/>
      <family val="2"/>
    </font>
    <font>
      <b/>
      <sz val="14"/>
      <name val="Avenir Next LT Pro Light"/>
      <family val="2"/>
    </font>
  </fonts>
  <fills count="9">
    <fill>
      <patternFill patternType="none"/>
    </fill>
    <fill>
      <patternFill patternType="gray125"/>
    </fill>
    <fill>
      <patternFill patternType="solid">
        <fgColor rgb="FFACB55C"/>
        <bgColor indexed="64"/>
      </patternFill>
    </fill>
    <fill>
      <patternFill patternType="solid">
        <fgColor rgb="FFE3E1DC"/>
        <bgColor indexed="64"/>
      </patternFill>
    </fill>
    <fill>
      <patternFill patternType="solid">
        <fgColor rgb="FF688898"/>
        <bgColor indexed="64"/>
      </patternFill>
    </fill>
    <fill>
      <patternFill patternType="solid">
        <fgColor rgb="FF38444B"/>
        <bgColor indexed="64"/>
      </patternFill>
    </fill>
    <fill>
      <patternFill patternType="solid">
        <fgColor theme="0"/>
        <bgColor indexed="64"/>
      </patternFill>
    </fill>
    <fill>
      <patternFill patternType="solid">
        <fgColor theme="2"/>
        <bgColor indexed="64"/>
      </patternFill>
    </fill>
    <fill>
      <patternFill patternType="solid">
        <fgColor rgb="FFC9A978"/>
        <bgColor indexed="64"/>
      </patternFill>
    </fill>
  </fills>
  <borders count="28">
    <border>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bottom style="hair">
        <color indexed="64"/>
      </bottom>
      <diagonal/>
    </border>
  </borders>
  <cellStyleXfs count="2">
    <xf numFmtId="0" fontId="0" fillId="0" borderId="0"/>
    <xf numFmtId="0" fontId="13" fillId="0" borderId="0" applyNumberFormat="0" applyFill="0" applyBorder="0" applyAlignment="0" applyProtection="0"/>
  </cellStyleXfs>
  <cellXfs count="189">
    <xf numFmtId="0" fontId="0" fillId="0" borderId="0" xfId="0"/>
    <xf numFmtId="164" fontId="0" fillId="0" borderId="0" xfId="0" applyNumberFormat="1"/>
    <xf numFmtId="0" fontId="2" fillId="0" borderId="0" xfId="0" applyFont="1" applyAlignment="1">
      <alignment vertical="center"/>
    </xf>
    <xf numFmtId="0" fontId="3" fillId="0" borderId="0" xfId="0" applyFont="1"/>
    <xf numFmtId="0" fontId="1" fillId="0" borderId="0" xfId="0" applyFont="1" applyAlignment="1">
      <alignment horizontal="center"/>
    </xf>
    <xf numFmtId="164" fontId="1" fillId="0" borderId="0" xfId="0" applyNumberFormat="1" applyFont="1" applyAlignment="1">
      <alignment horizontal="center"/>
    </xf>
    <xf numFmtId="165" fontId="0" fillId="0" borderId="1" xfId="0" applyNumberFormat="1" applyBorder="1"/>
    <xf numFmtId="0" fontId="1" fillId="0" borderId="2" xfId="0" applyFont="1" applyBorder="1" applyAlignment="1">
      <alignment horizontal="center"/>
    </xf>
    <xf numFmtId="0" fontId="1" fillId="0" borderId="3" xfId="0" applyFont="1" applyBorder="1" applyAlignment="1">
      <alignment horizontal="center"/>
    </xf>
    <xf numFmtId="0" fontId="1" fillId="0" borderId="3" xfId="0" applyFont="1" applyBorder="1" applyAlignment="1">
      <alignment horizontal="center" wrapText="1"/>
    </xf>
    <xf numFmtId="0" fontId="1" fillId="0" borderId="4" xfId="0" applyFont="1" applyBorder="1" applyAlignment="1">
      <alignment horizontal="center" wrapText="1"/>
    </xf>
    <xf numFmtId="0" fontId="0" fillId="0" borderId="5" xfId="0" applyBorder="1"/>
    <xf numFmtId="165" fontId="0" fillId="0" borderId="6" xfId="0" applyNumberFormat="1" applyBorder="1"/>
    <xf numFmtId="0" fontId="0" fillId="0" borderId="7" xfId="0" applyBorder="1"/>
    <xf numFmtId="165" fontId="0" fillId="0" borderId="8" xfId="0" applyNumberFormat="1" applyBorder="1"/>
    <xf numFmtId="165" fontId="0" fillId="0" borderId="9" xfId="0" applyNumberFormat="1" applyBorder="1"/>
    <xf numFmtId="165" fontId="4" fillId="0" borderId="6" xfId="0" applyNumberFormat="1" applyFont="1" applyBorder="1"/>
    <xf numFmtId="165" fontId="4" fillId="0" borderId="9" xfId="0" applyNumberFormat="1" applyFont="1" applyBorder="1"/>
    <xf numFmtId="164" fontId="1" fillId="0" borderId="3" xfId="0" applyNumberFormat="1" applyFont="1" applyBorder="1" applyAlignment="1">
      <alignment horizontal="center" wrapText="1"/>
    </xf>
    <xf numFmtId="164" fontId="0" fillId="0" borderId="1" xfId="0" applyNumberFormat="1" applyBorder="1"/>
    <xf numFmtId="164" fontId="1" fillId="0" borderId="3" xfId="0" applyNumberFormat="1" applyFont="1" applyBorder="1" applyAlignment="1">
      <alignment horizontal="center"/>
    </xf>
    <xf numFmtId="164" fontId="0" fillId="0" borderId="8" xfId="0" applyNumberFormat="1" applyBorder="1"/>
    <xf numFmtId="0" fontId="1" fillId="0" borderId="2" xfId="0" applyFont="1" applyBorder="1" applyAlignment="1">
      <alignment horizontal="center" wrapText="1"/>
    </xf>
    <xf numFmtId="0" fontId="0" fillId="0" borderId="0" xfId="0" applyAlignment="1">
      <alignment wrapText="1"/>
    </xf>
    <xf numFmtId="0" fontId="8" fillId="0" borderId="0" xfId="0" applyFont="1"/>
    <xf numFmtId="0" fontId="2" fillId="0" borderId="0" xfId="0" applyFont="1" applyAlignment="1">
      <alignment vertical="center" wrapText="1"/>
    </xf>
    <xf numFmtId="0" fontId="0" fillId="0" borderId="0" xfId="0" applyAlignment="1">
      <alignment horizontal="left"/>
    </xf>
    <xf numFmtId="4" fontId="0" fillId="0" borderId="0" xfId="0" applyNumberFormat="1"/>
    <xf numFmtId="3" fontId="0" fillId="0" borderId="0" xfId="0" applyNumberFormat="1"/>
    <xf numFmtId="0" fontId="1" fillId="0" borderId="0" xfId="0" applyFont="1"/>
    <xf numFmtId="10" fontId="0" fillId="0" borderId="0" xfId="0" applyNumberFormat="1"/>
    <xf numFmtId="10" fontId="1" fillId="0" borderId="0" xfId="0" applyNumberFormat="1" applyFont="1"/>
    <xf numFmtId="164" fontId="1" fillId="0" borderId="0" xfId="0" applyNumberFormat="1" applyFont="1"/>
    <xf numFmtId="0" fontId="0" fillId="0" borderId="0" xfId="0" applyProtection="1">
      <protection hidden="1"/>
    </xf>
    <xf numFmtId="164" fontId="0" fillId="0" borderId="0" xfId="0" applyNumberFormat="1" applyProtection="1">
      <protection hidden="1"/>
    </xf>
    <xf numFmtId="0" fontId="15" fillId="0" borderId="0" xfId="0" applyFont="1" applyAlignment="1" applyProtection="1">
      <alignment vertical="center" wrapText="1"/>
      <protection hidden="1"/>
    </xf>
    <xf numFmtId="0" fontId="1" fillId="0" borderId="0" xfId="0" applyFont="1" applyProtection="1">
      <protection hidden="1"/>
    </xf>
    <xf numFmtId="0" fontId="14" fillId="0" borderId="0" xfId="0" applyFont="1" applyAlignment="1" applyProtection="1">
      <alignment horizontal="right"/>
      <protection hidden="1"/>
    </xf>
    <xf numFmtId="0" fontId="14" fillId="0" borderId="21" xfId="0" applyFont="1" applyBorder="1" applyProtection="1">
      <protection hidden="1"/>
    </xf>
    <xf numFmtId="0" fontId="0" fillId="0" borderId="15" xfId="0" applyBorder="1" applyProtection="1">
      <protection hidden="1"/>
    </xf>
    <xf numFmtId="164" fontId="0" fillId="0" borderId="19" xfId="0" applyNumberFormat="1" applyBorder="1" applyProtection="1">
      <protection hidden="1"/>
    </xf>
    <xf numFmtId="0" fontId="14" fillId="0" borderId="19" xfId="0" applyFont="1" applyBorder="1" applyProtection="1">
      <protection hidden="1"/>
    </xf>
    <xf numFmtId="0" fontId="0" fillId="0" borderId="16" xfId="0" applyBorder="1" applyProtection="1">
      <protection hidden="1"/>
    </xf>
    <xf numFmtId="164" fontId="12" fillId="6" borderId="0" xfId="0" applyNumberFormat="1" applyFont="1" applyFill="1" applyAlignment="1" applyProtection="1">
      <alignment horizontal="center" vertical="center"/>
      <protection hidden="1"/>
    </xf>
    <xf numFmtId="0" fontId="10" fillId="0" borderId="0" xfId="0" applyFont="1" applyAlignment="1">
      <alignment horizontal="left" vertical="center" wrapText="1"/>
    </xf>
    <xf numFmtId="0" fontId="11" fillId="0" borderId="0" xfId="0" applyFont="1" applyAlignment="1">
      <alignment horizontal="left" vertical="center" wrapText="1"/>
    </xf>
    <xf numFmtId="0" fontId="2" fillId="0" borderId="0" xfId="0" applyFont="1" applyAlignment="1">
      <alignment horizontal="left" vertical="center" wrapText="1"/>
    </xf>
    <xf numFmtId="0" fontId="0" fillId="0" borderId="19" xfId="0" applyBorder="1" applyProtection="1">
      <protection hidden="1"/>
    </xf>
    <xf numFmtId="14" fontId="0" fillId="0" borderId="0" xfId="0" applyNumberFormat="1" applyProtection="1">
      <protection hidden="1"/>
    </xf>
    <xf numFmtId="0" fontId="0" fillId="0" borderId="0" xfId="0" applyAlignment="1">
      <alignment horizontal="left" vertical="center" wrapText="1"/>
    </xf>
    <xf numFmtId="0" fontId="0" fillId="0" borderId="22" xfId="0" applyBorder="1" applyProtection="1">
      <protection hidden="1"/>
    </xf>
    <xf numFmtId="0" fontId="14" fillId="0" borderId="16" xfId="0" applyFont="1" applyBorder="1" applyAlignment="1" applyProtection="1">
      <alignment horizontal="right"/>
      <protection hidden="1"/>
    </xf>
    <xf numFmtId="14" fontId="0" fillId="0" borderId="16" xfId="0" applyNumberFormat="1" applyBorder="1" applyProtection="1">
      <protection hidden="1"/>
    </xf>
    <xf numFmtId="0" fontId="17" fillId="7" borderId="13" xfId="0" applyFont="1" applyFill="1" applyBorder="1" applyAlignment="1" applyProtection="1">
      <alignment horizontal="center" vertical="center"/>
      <protection locked="0" hidden="1"/>
    </xf>
    <xf numFmtId="0" fontId="18" fillId="7" borderId="13" xfId="0" applyFont="1" applyFill="1" applyBorder="1" applyAlignment="1" applyProtection="1">
      <alignment horizontal="center" vertical="center"/>
      <protection locked="0" hidden="1"/>
    </xf>
    <xf numFmtId="0" fontId="17" fillId="7" borderId="13" xfId="0" applyFont="1" applyFill="1" applyBorder="1" applyAlignment="1" applyProtection="1">
      <alignment horizontal="center" vertical="center" wrapText="1"/>
      <protection locked="0" hidden="1"/>
    </xf>
    <xf numFmtId="0" fontId="17" fillId="3" borderId="13" xfId="0" applyFont="1" applyFill="1" applyBorder="1" applyProtection="1">
      <protection locked="0" hidden="1"/>
    </xf>
    <xf numFmtId="0" fontId="14" fillId="0" borderId="19" xfId="0" applyFont="1" applyBorder="1" applyAlignment="1" applyProtection="1">
      <alignment horizontal="right" vertical="center" wrapText="1"/>
      <protection hidden="1"/>
    </xf>
    <xf numFmtId="0" fontId="22" fillId="0" borderId="19" xfId="0" applyFont="1" applyBorder="1" applyAlignment="1" applyProtection="1">
      <alignment horizontal="right" vertical="top" wrapText="1"/>
      <protection hidden="1"/>
    </xf>
    <xf numFmtId="164" fontId="0" fillId="0" borderId="18" xfId="0" applyNumberFormat="1" applyBorder="1" applyProtection="1">
      <protection hidden="1"/>
    </xf>
    <xf numFmtId="0" fontId="0" fillId="0" borderId="18" xfId="0" applyBorder="1" applyProtection="1">
      <protection hidden="1"/>
    </xf>
    <xf numFmtId="164" fontId="12" fillId="0" borderId="18" xfId="0" applyNumberFormat="1" applyFont="1" applyBorder="1" applyAlignment="1" applyProtection="1">
      <alignment horizontal="center" vertical="center"/>
      <protection hidden="1"/>
    </xf>
    <xf numFmtId="0" fontId="22" fillId="0" borderId="19" xfId="0" applyFont="1" applyBorder="1" applyAlignment="1" applyProtection="1">
      <alignment vertical="top"/>
      <protection hidden="1"/>
    </xf>
    <xf numFmtId="164" fontId="23" fillId="4" borderId="13" xfId="0" applyNumberFormat="1" applyFont="1" applyFill="1" applyBorder="1" applyAlignment="1" applyProtection="1">
      <alignment horizontal="center" vertical="center"/>
      <protection hidden="1"/>
    </xf>
    <xf numFmtId="164" fontId="12" fillId="0" borderId="18" xfId="0" applyNumberFormat="1" applyFont="1" applyBorder="1" applyAlignment="1" applyProtection="1">
      <alignment vertical="center"/>
      <protection hidden="1"/>
    </xf>
    <xf numFmtId="0" fontId="17" fillId="0" borderId="13" xfId="0" applyFont="1" applyBorder="1" applyAlignment="1" applyProtection="1">
      <alignment horizontal="center" vertical="center" wrapText="1"/>
      <protection locked="0" hidden="1"/>
    </xf>
    <xf numFmtId="0" fontId="19" fillId="0" borderId="0" xfId="0" applyFont="1" applyProtection="1">
      <protection hidden="1"/>
    </xf>
    <xf numFmtId="0" fontId="0" fillId="0" borderId="0" xfId="0" applyAlignment="1" applyProtection="1">
      <alignment vertical="top" wrapText="1"/>
      <protection hidden="1"/>
    </xf>
    <xf numFmtId="0" fontId="0" fillId="0" borderId="0" xfId="0" applyAlignment="1" applyProtection="1">
      <alignment horizontal="center" wrapText="1"/>
      <protection hidden="1"/>
    </xf>
    <xf numFmtId="0" fontId="16" fillId="0" borderId="0" xfId="0" applyFont="1" applyAlignment="1">
      <alignment vertical="center" wrapText="1"/>
    </xf>
    <xf numFmtId="0" fontId="0" fillId="0" borderId="0" xfId="0" applyAlignment="1">
      <alignment vertical="center" wrapText="1"/>
    </xf>
    <xf numFmtId="0" fontId="0" fillId="3" borderId="13" xfId="0" applyFill="1" applyBorder="1" applyProtection="1">
      <protection locked="0" hidden="1"/>
    </xf>
    <xf numFmtId="0" fontId="29" fillId="8" borderId="12" xfId="1" applyFont="1" applyFill="1" applyBorder="1" applyAlignment="1" applyProtection="1">
      <alignment horizontal="center" vertical="center"/>
      <protection hidden="1"/>
    </xf>
    <xf numFmtId="0" fontId="32" fillId="0" borderId="13" xfId="0" applyFont="1" applyBorder="1" applyAlignment="1" applyProtection="1">
      <alignment wrapText="1"/>
      <protection hidden="1"/>
    </xf>
    <xf numFmtId="0" fontId="32" fillId="0" borderId="20" xfId="0" applyFont="1" applyBorder="1" applyAlignment="1" applyProtection="1">
      <alignment wrapText="1"/>
      <protection hidden="1"/>
    </xf>
    <xf numFmtId="0" fontId="30" fillId="0" borderId="19" xfId="0" applyFont="1" applyBorder="1" applyAlignment="1" applyProtection="1">
      <alignment horizontal="right" vertical="center" wrapText="1"/>
      <protection hidden="1"/>
    </xf>
    <xf numFmtId="0" fontId="5" fillId="0" borderId="0" xfId="0" applyFont="1" applyAlignment="1">
      <alignment wrapText="1"/>
    </xf>
    <xf numFmtId="0" fontId="1" fillId="0" borderId="0" xfId="0" applyFont="1" applyAlignment="1">
      <alignment horizontal="center" wrapText="1"/>
    </xf>
    <xf numFmtId="165" fontId="0" fillId="0" borderId="0" xfId="0" applyNumberFormat="1"/>
    <xf numFmtId="0" fontId="5" fillId="0" borderId="10" xfId="0" applyFont="1" applyBorder="1"/>
    <xf numFmtId="0" fontId="5" fillId="0" borderId="11" xfId="0" applyFont="1" applyBorder="1"/>
    <xf numFmtId="0" fontId="5" fillId="0" borderId="12" xfId="0" applyFont="1" applyBorder="1"/>
    <xf numFmtId="0" fontId="5" fillId="0" borderId="0" xfId="0" applyFont="1"/>
    <xf numFmtId="165" fontId="0" fillId="0" borderId="6" xfId="0" applyNumberFormat="1" applyBorder="1" applyAlignment="1">
      <alignment horizontal="right"/>
    </xf>
    <xf numFmtId="165" fontId="0" fillId="0" borderId="9" xfId="0" applyNumberFormat="1" applyBorder="1" applyAlignment="1">
      <alignment horizontal="right"/>
    </xf>
    <xf numFmtId="165" fontId="4" fillId="0" borderId="0" xfId="0" applyNumberFormat="1" applyFont="1"/>
    <xf numFmtId="0" fontId="0" fillId="0" borderId="24" xfId="0" applyBorder="1"/>
    <xf numFmtId="164" fontId="0" fillId="0" borderId="25" xfId="0" applyNumberFormat="1" applyBorder="1"/>
    <xf numFmtId="165" fontId="0" fillId="0" borderId="25" xfId="0" applyNumberFormat="1" applyBorder="1"/>
    <xf numFmtId="0" fontId="0" fillId="0" borderId="26" xfId="0" applyBorder="1"/>
    <xf numFmtId="165" fontId="0" fillId="0" borderId="27" xfId="0" applyNumberFormat="1" applyBorder="1"/>
    <xf numFmtId="164" fontId="34" fillId="7" borderId="0" xfId="0" applyNumberFormat="1" applyFont="1" applyFill="1"/>
    <xf numFmtId="164" fontId="4" fillId="0" borderId="18" xfId="0" applyNumberFormat="1" applyFont="1" applyBorder="1"/>
    <xf numFmtId="4" fontId="0" fillId="0" borderId="16" xfId="0" applyNumberFormat="1" applyBorder="1"/>
    <xf numFmtId="164" fontId="34" fillId="7" borderId="16" xfId="0" applyNumberFormat="1" applyFont="1" applyFill="1" applyBorder="1"/>
    <xf numFmtId="164" fontId="0" fillId="0" borderId="16" xfId="0" applyNumberFormat="1" applyBorder="1"/>
    <xf numFmtId="164" fontId="4" fillId="0" borderId="20" xfId="0" applyNumberFormat="1" applyFont="1" applyBorder="1"/>
    <xf numFmtId="0" fontId="34" fillId="7" borderId="15" xfId="0" applyFont="1" applyFill="1" applyBorder="1" applyAlignment="1">
      <alignment horizontal="center" wrapText="1"/>
    </xf>
    <xf numFmtId="0" fontId="0" fillId="0" borderId="0" xfId="0" applyAlignment="1">
      <alignment horizontal="center" wrapText="1"/>
    </xf>
    <xf numFmtId="0" fontId="1" fillId="0" borderId="21" xfId="0" applyFont="1" applyBorder="1" applyAlignment="1">
      <alignment horizontal="left" wrapText="1"/>
    </xf>
    <xf numFmtId="0" fontId="1" fillId="0" borderId="15" xfId="0" applyFont="1" applyBorder="1" applyAlignment="1">
      <alignment horizontal="center" wrapText="1"/>
    </xf>
    <xf numFmtId="0" fontId="35" fillId="7" borderId="15" xfId="0" applyFont="1" applyFill="1" applyBorder="1" applyAlignment="1">
      <alignment horizontal="center" wrapText="1"/>
    </xf>
    <xf numFmtId="0" fontId="1" fillId="0" borderId="17" xfId="0" applyFont="1" applyBorder="1" applyAlignment="1">
      <alignment horizontal="center" wrapText="1"/>
    </xf>
    <xf numFmtId="0" fontId="0" fillId="0" borderId="16" xfId="0" applyBorder="1"/>
    <xf numFmtId="0" fontId="1" fillId="0" borderId="0" xfId="0" applyFont="1" applyAlignment="1">
      <alignment wrapText="1"/>
    </xf>
    <xf numFmtId="0" fontId="1" fillId="0" borderId="10" xfId="0" applyFont="1" applyBorder="1" applyAlignment="1">
      <alignment wrapText="1"/>
    </xf>
    <xf numFmtId="0" fontId="1" fillId="0" borderId="11" xfId="0" applyFont="1" applyBorder="1" applyAlignment="1">
      <alignment wrapText="1"/>
    </xf>
    <xf numFmtId="0" fontId="35" fillId="7" borderId="11" xfId="0" applyFont="1" applyFill="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4" fontId="1" fillId="0" borderId="15" xfId="0" applyNumberFormat="1" applyFont="1" applyBorder="1" applyAlignment="1">
      <alignment horizontal="center" wrapText="1"/>
    </xf>
    <xf numFmtId="164" fontId="0" fillId="0" borderId="18" xfId="0" applyNumberFormat="1" applyBorder="1"/>
    <xf numFmtId="164" fontId="0" fillId="0" borderId="20" xfId="0" applyNumberFormat="1" applyBorder="1"/>
    <xf numFmtId="0" fontId="34" fillId="7" borderId="21" xfId="0" applyFont="1" applyFill="1" applyBorder="1" applyAlignment="1">
      <alignment horizontal="left" wrapText="1"/>
    </xf>
    <xf numFmtId="4" fontId="34" fillId="7" borderId="15" xfId="0" applyNumberFormat="1" applyFont="1" applyFill="1" applyBorder="1" applyAlignment="1">
      <alignment horizontal="center" wrapText="1"/>
    </xf>
    <xf numFmtId="0" fontId="34" fillId="7" borderId="17" xfId="0" applyFont="1" applyFill="1" applyBorder="1" applyAlignment="1">
      <alignment horizontal="center" wrapText="1"/>
    </xf>
    <xf numFmtId="0" fontId="34" fillId="7" borderId="5" xfId="0" applyFont="1" applyFill="1" applyBorder="1"/>
    <xf numFmtId="4" fontId="34" fillId="7" borderId="0" xfId="0" applyNumberFormat="1" applyFont="1" applyFill="1"/>
    <xf numFmtId="164" fontId="34" fillId="7" borderId="18" xfId="0" applyNumberFormat="1" applyFont="1" applyFill="1" applyBorder="1"/>
    <xf numFmtId="0" fontId="34" fillId="7" borderId="7" xfId="0" applyFont="1" applyFill="1" applyBorder="1"/>
    <xf numFmtId="4" fontId="34" fillId="7" borderId="16" xfId="0" applyNumberFormat="1" applyFont="1" applyFill="1" applyBorder="1"/>
    <xf numFmtId="164" fontId="34" fillId="7" borderId="20" xfId="0" applyNumberFormat="1" applyFont="1" applyFill="1" applyBorder="1"/>
    <xf numFmtId="0" fontId="37" fillId="0" borderId="19" xfId="0" applyFont="1" applyBorder="1" applyAlignment="1" applyProtection="1">
      <alignment horizontal="right" vertical="center" wrapText="1"/>
      <protection hidden="1"/>
    </xf>
    <xf numFmtId="0" fontId="5" fillId="0" borderId="10" xfId="0" applyFont="1" applyBorder="1" applyAlignment="1">
      <alignment horizontal="center" wrapText="1"/>
    </xf>
    <xf numFmtId="0" fontId="5" fillId="0" borderId="11" xfId="0" applyFont="1" applyBorder="1" applyAlignment="1">
      <alignment horizontal="center" wrapText="1"/>
    </xf>
    <xf numFmtId="0" fontId="5" fillId="0" borderId="12" xfId="0" applyFont="1" applyBorder="1" applyAlignment="1">
      <alignment horizontal="center" wrapText="1"/>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10"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11" fillId="0" borderId="0" xfId="0" applyFont="1" applyAlignment="1">
      <alignment horizontal="left" vertical="center" wrapText="1"/>
    </xf>
    <xf numFmtId="0" fontId="28" fillId="0" borderId="15"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0" xfId="0" applyFont="1" applyAlignment="1">
      <alignment horizontal="center" vertical="center" wrapText="1"/>
    </xf>
    <xf numFmtId="0" fontId="28" fillId="0" borderId="18" xfId="0" applyFont="1" applyBorder="1" applyAlignment="1">
      <alignment horizontal="center" vertical="center" wrapText="1"/>
    </xf>
    <xf numFmtId="0" fontId="26" fillId="0" borderId="0" xfId="0" applyFont="1" applyAlignment="1">
      <alignment horizontal="center" vertical="center" wrapText="1"/>
    </xf>
    <xf numFmtId="0" fontId="26" fillId="0" borderId="18"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20" xfId="0" applyFont="1" applyBorder="1" applyAlignment="1">
      <alignment horizontal="center" vertical="center" wrapText="1"/>
    </xf>
    <xf numFmtId="0" fontId="33" fillId="0" borderId="21" xfId="0" applyFont="1" applyBorder="1" applyAlignment="1" applyProtection="1">
      <alignment horizontal="center" wrapText="1"/>
      <protection hidden="1"/>
    </xf>
    <xf numFmtId="0" fontId="33" fillId="0" borderId="12" xfId="0" applyFont="1" applyBorder="1" applyAlignment="1" applyProtection="1">
      <alignment horizontal="center" wrapText="1"/>
      <protection hidden="1"/>
    </xf>
    <xf numFmtId="0" fontId="24" fillId="0" borderId="10" xfId="0" applyFont="1" applyBorder="1" applyAlignment="1" applyProtection="1">
      <alignment horizontal="center" vertical="center"/>
      <protection hidden="1"/>
    </xf>
    <xf numFmtId="0" fontId="24" fillId="0" borderId="12" xfId="0" applyFont="1" applyBorder="1" applyAlignment="1" applyProtection="1">
      <alignment horizontal="center" vertical="center"/>
      <protection hidden="1"/>
    </xf>
    <xf numFmtId="0" fontId="26" fillId="0" borderId="10" xfId="0" applyFont="1" applyBorder="1" applyAlignment="1" applyProtection="1">
      <alignment horizontal="center" vertical="center"/>
      <protection hidden="1"/>
    </xf>
    <xf numFmtId="0" fontId="26" fillId="0" borderId="11" xfId="0" applyFont="1" applyBorder="1" applyAlignment="1" applyProtection="1">
      <alignment horizontal="center" vertical="center"/>
      <protection hidden="1"/>
    </xf>
    <xf numFmtId="0" fontId="26" fillId="0" borderId="12" xfId="0" applyFont="1" applyBorder="1" applyAlignment="1" applyProtection="1">
      <alignment horizontal="center" vertical="center"/>
      <protection hidden="1"/>
    </xf>
    <xf numFmtId="0" fontId="20" fillId="4" borderId="21" xfId="0" applyFont="1" applyFill="1" applyBorder="1" applyAlignment="1">
      <alignment horizontal="center" vertical="center"/>
    </xf>
    <xf numFmtId="0" fontId="20" fillId="4" borderId="15" xfId="0" applyFont="1" applyFill="1" applyBorder="1" applyAlignment="1">
      <alignment horizontal="center" vertical="center"/>
    </xf>
    <xf numFmtId="0" fontId="20" fillId="4" borderId="17"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16" xfId="0" applyFont="1" applyFill="1" applyBorder="1" applyAlignment="1">
      <alignment horizontal="center" vertical="center"/>
    </xf>
    <xf numFmtId="0" fontId="20" fillId="4" borderId="20" xfId="0" applyFont="1" applyFill="1" applyBorder="1" applyAlignment="1">
      <alignment horizontal="center" vertical="center"/>
    </xf>
    <xf numFmtId="0" fontId="21" fillId="5" borderId="21" xfId="0" applyFont="1" applyFill="1" applyBorder="1" applyAlignment="1" applyProtection="1">
      <alignment horizontal="center" vertical="center" wrapText="1"/>
      <protection hidden="1"/>
    </xf>
    <xf numFmtId="0" fontId="21" fillId="5" borderId="17" xfId="0" applyFont="1" applyFill="1" applyBorder="1" applyAlignment="1" applyProtection="1">
      <alignment horizontal="center" vertical="center" wrapText="1"/>
      <protection hidden="1"/>
    </xf>
    <xf numFmtId="0" fontId="21" fillId="5" borderId="22" xfId="0" applyFont="1" applyFill="1" applyBorder="1" applyAlignment="1" applyProtection="1">
      <alignment horizontal="center" vertical="center" wrapText="1"/>
      <protection hidden="1"/>
    </xf>
    <xf numFmtId="0" fontId="21" fillId="5" borderId="20" xfId="0" applyFont="1" applyFill="1" applyBorder="1" applyAlignment="1" applyProtection="1">
      <alignment horizontal="center" vertical="center" wrapText="1"/>
      <protection hidden="1"/>
    </xf>
    <xf numFmtId="0" fontId="19" fillId="2" borderId="21" xfId="0" applyFont="1" applyFill="1" applyBorder="1" applyAlignment="1" applyProtection="1">
      <alignment horizontal="center"/>
      <protection hidden="1"/>
    </xf>
    <xf numFmtId="0" fontId="19" fillId="2" borderId="15" xfId="0" applyFont="1" applyFill="1" applyBorder="1" applyAlignment="1" applyProtection="1">
      <alignment horizontal="center"/>
      <protection hidden="1"/>
    </xf>
    <xf numFmtId="0" fontId="19" fillId="2" borderId="17" xfId="0" applyFont="1" applyFill="1" applyBorder="1" applyAlignment="1" applyProtection="1">
      <alignment horizontal="center"/>
      <protection hidden="1"/>
    </xf>
    <xf numFmtId="0" fontId="19" fillId="2" borderId="22" xfId="0" applyFont="1" applyFill="1" applyBorder="1" applyAlignment="1" applyProtection="1">
      <alignment horizontal="center"/>
      <protection hidden="1"/>
    </xf>
    <xf numFmtId="0" fontId="19" fillId="2" borderId="16" xfId="0" applyFont="1" applyFill="1" applyBorder="1" applyAlignment="1" applyProtection="1">
      <alignment horizontal="center"/>
      <protection hidden="1"/>
    </xf>
    <xf numFmtId="0" fontId="19" fillId="2" borderId="20" xfId="0" applyFont="1" applyFill="1" applyBorder="1" applyAlignment="1" applyProtection="1">
      <alignment horizontal="center"/>
      <protection hidden="1"/>
    </xf>
    <xf numFmtId="0" fontId="24" fillId="0" borderId="19" xfId="0" applyFont="1" applyBorder="1" applyAlignment="1" applyProtection="1">
      <alignment horizontal="left" vertical="center" wrapText="1"/>
      <protection hidden="1"/>
    </xf>
    <xf numFmtId="0" fontId="24" fillId="0" borderId="22" xfId="0" applyFont="1" applyBorder="1" applyAlignment="1" applyProtection="1">
      <alignment horizontal="left" vertical="center" wrapText="1"/>
      <protection hidden="1"/>
    </xf>
    <xf numFmtId="164" fontId="23" fillId="5" borderId="17" xfId="0" applyNumberFormat="1" applyFont="1" applyFill="1" applyBorder="1" applyAlignment="1" applyProtection="1">
      <alignment horizontal="center" vertical="center"/>
      <protection hidden="1"/>
    </xf>
    <xf numFmtId="164" fontId="23" fillId="5" borderId="18" xfId="0" applyNumberFormat="1" applyFont="1" applyFill="1" applyBorder="1" applyAlignment="1" applyProtection="1">
      <alignment horizontal="center" vertical="center"/>
      <protection hidden="1"/>
    </xf>
    <xf numFmtId="164" fontId="23" fillId="5" borderId="20" xfId="0" applyNumberFormat="1" applyFont="1" applyFill="1" applyBorder="1" applyAlignment="1" applyProtection="1">
      <alignment horizontal="center" vertical="center"/>
      <protection hidden="1"/>
    </xf>
    <xf numFmtId="0" fontId="24" fillId="0" borderId="19" xfId="0" applyFont="1" applyBorder="1" applyAlignment="1" applyProtection="1">
      <alignment horizontal="right" wrapText="1"/>
      <protection hidden="1"/>
    </xf>
    <xf numFmtId="0" fontId="24" fillId="0" borderId="14" xfId="0" applyFont="1" applyBorder="1" applyAlignment="1" applyProtection="1">
      <alignment horizontal="center" vertical="center"/>
      <protection hidden="1"/>
    </xf>
    <xf numFmtId="0" fontId="24" fillId="0" borderId="23" xfId="0" applyFont="1" applyBorder="1" applyAlignment="1" applyProtection="1">
      <alignment horizontal="center" vertical="center"/>
      <protection hidden="1"/>
    </xf>
    <xf numFmtId="0" fontId="24" fillId="0" borderId="10" xfId="0" applyFont="1" applyBorder="1" applyAlignment="1" applyProtection="1">
      <alignment horizontal="left" vertical="center"/>
      <protection hidden="1"/>
    </xf>
    <xf numFmtId="0" fontId="24" fillId="0" borderId="12" xfId="0" applyFont="1" applyBorder="1" applyAlignment="1" applyProtection="1">
      <alignment horizontal="left" vertical="center"/>
      <protection hidden="1"/>
    </xf>
    <xf numFmtId="0" fontId="24" fillId="0" borderId="14" xfId="0" applyFont="1" applyBorder="1" applyAlignment="1" applyProtection="1">
      <alignment horizontal="center" vertical="center" wrapText="1"/>
      <protection hidden="1"/>
    </xf>
    <xf numFmtId="0" fontId="24" fillId="0" borderId="23" xfId="0" applyFont="1" applyBorder="1" applyAlignment="1" applyProtection="1">
      <alignment horizontal="center" vertical="center" wrapText="1"/>
      <protection hidden="1"/>
    </xf>
    <xf numFmtId="0" fontId="20" fillId="4" borderId="10"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12" xfId="0" applyFont="1" applyFill="1" applyBorder="1" applyAlignment="1">
      <alignment horizontal="center" vertical="center"/>
    </xf>
    <xf numFmtId="0" fontId="27" fillId="0" borderId="10" xfId="0" applyFont="1" applyBorder="1" applyAlignment="1">
      <alignment horizontal="center" wrapText="1"/>
    </xf>
    <xf numFmtId="0" fontId="27" fillId="0" borderId="11" xfId="0" applyFont="1" applyBorder="1" applyAlignment="1">
      <alignment horizontal="center" wrapText="1"/>
    </xf>
    <xf numFmtId="0" fontId="27" fillId="0" borderId="12" xfId="0" applyFont="1" applyBorder="1" applyAlignment="1">
      <alignment horizontal="center" wrapText="1"/>
    </xf>
    <xf numFmtId="0" fontId="14" fillId="0" borderId="10" xfId="0" applyFont="1" applyBorder="1" applyAlignment="1" applyProtection="1">
      <alignment horizontal="left" vertical="center" wrapText="1"/>
      <protection hidden="1"/>
    </xf>
    <xf numFmtId="0" fontId="14" fillId="0" borderId="12" xfId="0" applyFont="1" applyBorder="1" applyAlignment="1" applyProtection="1">
      <alignment horizontal="left" vertical="center" wrapText="1"/>
      <protection hidden="1"/>
    </xf>
    <xf numFmtId="0" fontId="14" fillId="0" borderId="10" xfId="0" applyFont="1" applyBorder="1" applyAlignment="1" applyProtection="1">
      <alignment horizontal="center" vertical="center" wrapText="1"/>
      <protection hidden="1"/>
    </xf>
    <xf numFmtId="0" fontId="14" fillId="0" borderId="12" xfId="0" applyFont="1" applyBorder="1" applyAlignment="1" applyProtection="1">
      <alignment horizontal="center" vertical="center" wrapText="1"/>
      <protection hidden="1"/>
    </xf>
    <xf numFmtId="0" fontId="24" fillId="0" borderId="10" xfId="0" applyFont="1" applyBorder="1" applyAlignment="1" applyProtection="1">
      <alignment horizontal="right" vertical="center"/>
      <protection hidden="1"/>
    </xf>
    <xf numFmtId="0" fontId="24" fillId="0" borderId="12" xfId="0" applyFont="1" applyBorder="1" applyAlignment="1" applyProtection="1">
      <alignment horizontal="right" vertical="center"/>
      <protection hidden="1"/>
    </xf>
    <xf numFmtId="0" fontId="31" fillId="2" borderId="12" xfId="1" applyFont="1" applyFill="1" applyBorder="1" applyAlignment="1" applyProtection="1">
      <alignment horizontal="center" vertical="center"/>
      <protection locked="0" hidden="1"/>
    </xf>
  </cellXfs>
  <cellStyles count="2">
    <cellStyle name="Hyperlink" xfId="1" builtinId="8"/>
    <cellStyle name="Normal" xfId="0" builtinId="0"/>
  </cellStyles>
  <dxfs count="5">
    <dxf>
      <fill>
        <patternFill>
          <bgColor rgb="FFACB55C"/>
        </patternFill>
      </fill>
    </dxf>
    <dxf>
      <fill>
        <patternFill>
          <bgColor rgb="FFACB55C"/>
        </patternFill>
      </fill>
    </dxf>
    <dxf>
      <fill>
        <patternFill>
          <bgColor rgb="FFACB55C"/>
        </patternFill>
      </fill>
    </dxf>
    <dxf>
      <fill>
        <patternFill>
          <bgColor rgb="FFACB55C"/>
        </patternFill>
      </fill>
    </dxf>
    <dxf>
      <fill>
        <patternFill>
          <bgColor rgb="FFACB55C"/>
        </patternFill>
      </fill>
    </dxf>
  </dxfs>
  <tableStyles count="0" defaultTableStyle="TableStyleMedium2" defaultPivotStyle="PivotStyleLight16"/>
  <colors>
    <mruColors>
      <color rgb="FFC9A978"/>
      <color rgb="FFE3E1DC"/>
      <color rgb="FFACB55C"/>
      <color rgb="FF688898"/>
      <color rgb="FFA45248"/>
      <color rgb="FF395F6F"/>
      <color rgb="FF38444B"/>
      <color rgb="FF5405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47625</xdr:rowOff>
    </xdr:from>
    <xdr:to>
      <xdr:col>3</xdr:col>
      <xdr:colOff>93345</xdr:colOff>
      <xdr:row>3</xdr:row>
      <xdr:rowOff>116205</xdr:rowOff>
    </xdr:to>
    <xdr:pic>
      <xdr:nvPicPr>
        <xdr:cNvPr id="2" name="Picture 1">
          <a:extLst>
            <a:ext uri="{FF2B5EF4-FFF2-40B4-BE49-F238E27FC236}">
              <a16:creationId xmlns:a16="http://schemas.microsoft.com/office/drawing/2014/main" id="{50059AE5-35E4-86DD-459D-291EBF8AC3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47625"/>
          <a:ext cx="3090545" cy="640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237254</xdr:colOff>
      <xdr:row>0</xdr:row>
      <xdr:rowOff>24802</xdr:rowOff>
    </xdr:from>
    <xdr:to>
      <xdr:col>2</xdr:col>
      <xdr:colOff>800936</xdr:colOff>
      <xdr:row>6</xdr:row>
      <xdr:rowOff>177800</xdr:rowOff>
    </xdr:to>
    <xdr:pic>
      <xdr:nvPicPr>
        <xdr:cNvPr id="2" name="Picture 1">
          <a:extLst>
            <a:ext uri="{FF2B5EF4-FFF2-40B4-BE49-F238E27FC236}">
              <a16:creationId xmlns:a16="http://schemas.microsoft.com/office/drawing/2014/main" id="{B2AE3BAA-23CE-462B-8922-1B466DD8A9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7254" y="24802"/>
          <a:ext cx="3192582" cy="13086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47625</xdr:rowOff>
    </xdr:from>
    <xdr:to>
      <xdr:col>3</xdr:col>
      <xdr:colOff>379095</xdr:colOff>
      <xdr:row>3</xdr:row>
      <xdr:rowOff>116205</xdr:rowOff>
    </xdr:to>
    <xdr:pic>
      <xdr:nvPicPr>
        <xdr:cNvPr id="2" name="Picture 1">
          <a:extLst>
            <a:ext uri="{FF2B5EF4-FFF2-40B4-BE49-F238E27FC236}">
              <a16:creationId xmlns:a16="http://schemas.microsoft.com/office/drawing/2014/main" id="{10E6A7EA-6A9D-4FC4-AD0D-3DFEFAA29F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47625"/>
          <a:ext cx="3331845" cy="84010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xperience.arcgis.com/experience/031eee7bba9145c9b3a24b2974baf010/" TargetMode="External"/><Relationship Id="rId1" Type="http://schemas.openxmlformats.org/officeDocument/2006/relationships/hyperlink" Target="https://gis.missoulacounty.us/propertyinformation/?qgeo=04220029113060000"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4FBDB-BB4E-41C4-A6D6-D4D6208484E4}">
  <dimension ref="A1:K170"/>
  <sheetViews>
    <sheetView showGridLines="0" view="pageLayout" topLeftCell="A171" zoomScaleNormal="100" workbookViewId="0">
      <selection activeCell="F113" sqref="F1:F1048576"/>
    </sheetView>
  </sheetViews>
  <sheetFormatPr defaultRowHeight="14.4" x14ac:dyDescent="0.3"/>
  <cols>
    <col min="1" max="1" width="20.33203125" customWidth="1"/>
    <col min="2" max="2" width="10.5546875" style="1" customWidth="1"/>
    <col min="3" max="3" width="11.109375" style="1" customWidth="1"/>
    <col min="4" max="4" width="14.33203125" customWidth="1"/>
    <col min="5" max="5" width="19.88671875" customWidth="1"/>
    <col min="6" max="6" width="13.109375" customWidth="1"/>
    <col min="7" max="7" width="10.44140625" customWidth="1"/>
    <col min="8" max="8" width="10.33203125" customWidth="1"/>
    <col min="9" max="9" width="10.44140625" customWidth="1"/>
  </cols>
  <sheetData>
    <row r="1" spans="1:11" ht="15" customHeight="1" x14ac:dyDescent="0.3">
      <c r="G1" s="2"/>
      <c r="H1" s="130" t="s">
        <v>131</v>
      </c>
      <c r="I1" s="130"/>
      <c r="J1" s="130"/>
      <c r="K1" s="130"/>
    </row>
    <row r="2" spans="1:11" ht="15" customHeight="1" x14ac:dyDescent="0.3">
      <c r="F2" s="2"/>
      <c r="G2" s="2"/>
      <c r="H2" s="130"/>
      <c r="I2" s="130"/>
      <c r="J2" s="130"/>
      <c r="K2" s="130"/>
    </row>
    <row r="3" spans="1:11" ht="15" customHeight="1" x14ac:dyDescent="0.3">
      <c r="F3" s="2"/>
      <c r="G3" s="2"/>
      <c r="H3" s="130"/>
      <c r="I3" s="130"/>
      <c r="J3" s="130"/>
      <c r="K3" s="130"/>
    </row>
    <row r="4" spans="1:11" ht="15" customHeight="1" x14ac:dyDescent="0.3">
      <c r="F4" s="2"/>
      <c r="G4" s="2"/>
      <c r="H4" s="130"/>
      <c r="I4" s="130"/>
      <c r="J4" s="130"/>
      <c r="K4" s="130"/>
    </row>
    <row r="5" spans="1:11" ht="15" customHeight="1" x14ac:dyDescent="0.3">
      <c r="H5" s="130"/>
      <c r="I5" s="130"/>
      <c r="J5" s="130"/>
      <c r="K5" s="130"/>
    </row>
    <row r="6" spans="1:11" ht="15" customHeight="1" x14ac:dyDescent="0.3">
      <c r="H6" s="130"/>
      <c r="I6" s="130"/>
      <c r="J6" s="130"/>
      <c r="K6" s="130"/>
    </row>
    <row r="7" spans="1:11" ht="15" customHeight="1" x14ac:dyDescent="0.3">
      <c r="H7" s="25"/>
      <c r="I7" s="25"/>
      <c r="J7" s="25"/>
      <c r="K7" s="25"/>
    </row>
    <row r="8" spans="1:11" ht="15" customHeight="1" x14ac:dyDescent="0.3">
      <c r="A8" s="131" t="s">
        <v>132</v>
      </c>
      <c r="B8" s="131"/>
      <c r="C8" s="131"/>
      <c r="D8" s="131"/>
      <c r="E8" s="131"/>
      <c r="F8" s="131"/>
      <c r="G8" s="131"/>
      <c r="H8" s="131"/>
      <c r="I8" s="131"/>
      <c r="J8" s="131"/>
      <c r="K8" s="131"/>
    </row>
    <row r="9" spans="1:11" ht="15" customHeight="1" x14ac:dyDescent="0.3">
      <c r="A9" s="131"/>
      <c r="B9" s="131"/>
      <c r="C9" s="131"/>
      <c r="D9" s="131"/>
      <c r="E9" s="131"/>
      <c r="F9" s="131"/>
      <c r="G9" s="131"/>
      <c r="H9" s="131"/>
      <c r="I9" s="131"/>
      <c r="J9" s="131"/>
      <c r="K9" s="131"/>
    </row>
    <row r="10" spans="1:11" ht="15" customHeight="1" x14ac:dyDescent="0.3">
      <c r="A10" s="131"/>
      <c r="B10" s="131"/>
      <c r="C10" s="131"/>
      <c r="D10" s="131"/>
      <c r="E10" s="131"/>
      <c r="F10" s="131"/>
      <c r="G10" s="131"/>
      <c r="H10" s="131"/>
      <c r="I10" s="131"/>
      <c r="J10" s="131"/>
      <c r="K10" s="131"/>
    </row>
    <row r="11" spans="1:11" ht="15" customHeight="1" x14ac:dyDescent="0.3">
      <c r="A11" s="129" t="s">
        <v>0</v>
      </c>
      <c r="B11" s="129"/>
      <c r="C11" s="129"/>
      <c r="D11" s="129"/>
      <c r="E11" s="129"/>
      <c r="F11" s="129"/>
      <c r="G11" s="129"/>
      <c r="H11" s="129"/>
      <c r="I11" s="129"/>
      <c r="J11" s="129"/>
      <c r="K11" s="129"/>
    </row>
    <row r="12" spans="1:11" ht="15" customHeight="1" x14ac:dyDescent="0.3">
      <c r="A12" s="129"/>
      <c r="B12" s="129"/>
      <c r="C12" s="129"/>
      <c r="D12" s="129"/>
      <c r="E12" s="129"/>
      <c r="F12" s="129"/>
      <c r="G12" s="129"/>
      <c r="H12" s="129"/>
      <c r="I12" s="129"/>
      <c r="J12" s="129"/>
      <c r="K12" s="129"/>
    </row>
    <row r="13" spans="1:11" ht="15" customHeight="1" x14ac:dyDescent="0.3">
      <c r="A13" s="129" t="s">
        <v>1</v>
      </c>
      <c r="B13" s="129"/>
      <c r="C13" s="129"/>
      <c r="D13" s="129"/>
      <c r="E13" s="129"/>
      <c r="F13" s="129"/>
      <c r="G13" s="129"/>
      <c r="H13" s="129"/>
      <c r="I13" s="129"/>
      <c r="J13" s="129"/>
      <c r="K13" s="129"/>
    </row>
    <row r="14" spans="1:11" ht="15" customHeight="1" x14ac:dyDescent="0.3">
      <c r="A14" s="129"/>
      <c r="B14" s="129"/>
      <c r="C14" s="129"/>
      <c r="D14" s="129"/>
      <c r="E14" s="129"/>
      <c r="F14" s="129"/>
      <c r="G14" s="129"/>
      <c r="H14" s="129"/>
      <c r="I14" s="129"/>
      <c r="J14" s="129"/>
      <c r="K14" s="129"/>
    </row>
    <row r="15" spans="1:11" ht="15" customHeight="1" x14ac:dyDescent="0.3">
      <c r="A15" s="129" t="s">
        <v>2</v>
      </c>
      <c r="B15" s="129"/>
      <c r="C15" s="129"/>
      <c r="D15" s="129"/>
      <c r="E15" s="129"/>
      <c r="F15" s="129"/>
      <c r="G15" s="129"/>
      <c r="H15" s="129"/>
      <c r="I15" s="129"/>
      <c r="J15" s="129"/>
      <c r="K15" s="129"/>
    </row>
    <row r="16" spans="1:11" ht="15" customHeight="1" x14ac:dyDescent="0.3">
      <c r="A16" s="132" t="s">
        <v>3</v>
      </c>
      <c r="B16" s="129" t="s">
        <v>4</v>
      </c>
      <c r="C16" s="129"/>
      <c r="D16" s="129"/>
      <c r="E16" s="129"/>
      <c r="F16" s="129"/>
      <c r="G16" s="129"/>
      <c r="H16" s="129"/>
      <c r="I16" s="129"/>
      <c r="J16" s="129"/>
      <c r="K16" s="129"/>
    </row>
    <row r="17" spans="1:11" ht="15" customHeight="1" x14ac:dyDescent="0.3">
      <c r="A17" s="132"/>
      <c r="B17" s="129"/>
      <c r="C17" s="129"/>
      <c r="D17" s="129"/>
      <c r="E17" s="129"/>
      <c r="F17" s="129"/>
      <c r="G17" s="129"/>
      <c r="H17" s="129"/>
      <c r="I17" s="129"/>
      <c r="J17" s="129"/>
      <c r="K17" s="129"/>
    </row>
    <row r="18" spans="1:11" ht="15" customHeight="1" x14ac:dyDescent="0.3">
      <c r="A18" s="26"/>
      <c r="B18" s="129"/>
      <c r="C18" s="129"/>
      <c r="D18" s="129"/>
      <c r="E18" s="129"/>
      <c r="F18" s="129"/>
      <c r="G18" s="129"/>
      <c r="H18" s="129"/>
      <c r="I18" s="129"/>
      <c r="J18" s="129"/>
      <c r="K18" s="129"/>
    </row>
    <row r="19" spans="1:11" ht="15" customHeight="1" x14ac:dyDescent="0.3">
      <c r="A19" s="26"/>
      <c r="B19" s="129"/>
      <c r="C19" s="129"/>
      <c r="D19" s="129"/>
      <c r="E19" s="129"/>
      <c r="F19" s="129"/>
      <c r="G19" s="129"/>
      <c r="H19" s="129"/>
      <c r="I19" s="129"/>
      <c r="J19" s="129"/>
      <c r="K19" s="129"/>
    </row>
    <row r="20" spans="1:11" ht="15" customHeight="1" x14ac:dyDescent="0.3">
      <c r="A20" s="45" t="s">
        <v>5</v>
      </c>
      <c r="B20" s="129" t="s">
        <v>6</v>
      </c>
      <c r="C20" s="129"/>
      <c r="D20" s="129"/>
      <c r="E20" s="129"/>
      <c r="F20" s="129"/>
      <c r="G20" s="129"/>
      <c r="H20" s="129"/>
      <c r="I20" s="129"/>
      <c r="J20" s="129"/>
      <c r="K20" s="129"/>
    </row>
    <row r="21" spans="1:11" ht="15" customHeight="1" x14ac:dyDescent="0.3">
      <c r="A21" s="46"/>
      <c r="B21" s="129"/>
      <c r="C21" s="129"/>
      <c r="D21" s="129"/>
      <c r="E21" s="129"/>
      <c r="F21" s="129"/>
      <c r="G21" s="129"/>
      <c r="H21" s="129"/>
      <c r="I21" s="129"/>
      <c r="J21" s="129"/>
      <c r="K21" s="129"/>
    </row>
    <row r="22" spans="1:11" ht="15" customHeight="1" x14ac:dyDescent="0.3">
      <c r="A22" s="46"/>
      <c r="B22" s="129"/>
      <c r="C22" s="129"/>
      <c r="D22" s="129"/>
      <c r="E22" s="129"/>
      <c r="F22" s="129"/>
      <c r="G22" s="129"/>
      <c r="H22" s="129"/>
      <c r="I22" s="129"/>
      <c r="J22" s="129"/>
      <c r="K22" s="129"/>
    </row>
    <row r="23" spans="1:11" ht="15" customHeight="1" x14ac:dyDescent="0.3">
      <c r="A23" s="45" t="s">
        <v>7</v>
      </c>
      <c r="B23" s="129" t="s">
        <v>8</v>
      </c>
      <c r="C23" s="129"/>
      <c r="D23" s="129"/>
      <c r="E23" s="129"/>
      <c r="F23" s="129"/>
      <c r="G23" s="129"/>
      <c r="H23" s="129"/>
      <c r="I23" s="129"/>
      <c r="J23" s="129"/>
      <c r="K23" s="129"/>
    </row>
    <row r="24" spans="1:11" ht="15" customHeight="1" x14ac:dyDescent="0.3">
      <c r="A24" s="26"/>
      <c r="B24" s="129"/>
      <c r="C24" s="129"/>
      <c r="D24" s="129"/>
      <c r="E24" s="129"/>
      <c r="F24" s="129"/>
      <c r="G24" s="129"/>
      <c r="H24" s="129"/>
      <c r="I24" s="129"/>
      <c r="J24" s="129"/>
      <c r="K24" s="129"/>
    </row>
    <row r="25" spans="1:11" ht="15" customHeight="1" x14ac:dyDescent="0.3">
      <c r="A25" s="45" t="s">
        <v>9</v>
      </c>
      <c r="B25" s="129" t="s">
        <v>10</v>
      </c>
      <c r="C25" s="129"/>
      <c r="D25" s="129"/>
      <c r="E25" s="129"/>
      <c r="F25" s="129"/>
      <c r="G25" s="129"/>
      <c r="H25" s="129"/>
      <c r="I25" s="129"/>
      <c r="J25" s="129"/>
      <c r="K25" s="129"/>
    </row>
    <row r="26" spans="1:11" ht="15" customHeight="1" x14ac:dyDescent="0.3">
      <c r="A26" s="26"/>
      <c r="B26" s="129"/>
      <c r="C26" s="129"/>
      <c r="D26" s="129"/>
      <c r="E26" s="129"/>
      <c r="F26" s="129"/>
      <c r="G26" s="129"/>
      <c r="H26" s="129"/>
      <c r="I26" s="129"/>
      <c r="J26" s="129"/>
      <c r="K26" s="129"/>
    </row>
    <row r="27" spans="1:11" ht="15" customHeight="1" x14ac:dyDescent="0.3">
      <c r="A27" s="45" t="s">
        <v>11</v>
      </c>
      <c r="B27" s="129" t="s">
        <v>12</v>
      </c>
      <c r="C27" s="129"/>
      <c r="D27" s="129"/>
      <c r="E27" s="129"/>
      <c r="F27" s="129"/>
      <c r="G27" s="129"/>
      <c r="H27" s="129"/>
      <c r="I27" s="129"/>
      <c r="J27" s="129"/>
      <c r="K27" s="129"/>
    </row>
    <row r="28" spans="1:11" ht="15" customHeight="1" x14ac:dyDescent="0.3">
      <c r="B28" s="129"/>
      <c r="C28" s="129"/>
      <c r="D28" s="129"/>
      <c r="E28" s="129"/>
      <c r="F28" s="129"/>
      <c r="G28" s="129"/>
      <c r="H28" s="129"/>
      <c r="I28" s="129"/>
      <c r="J28" s="129"/>
      <c r="K28" s="129"/>
    </row>
    <row r="29" spans="1:11" ht="15" customHeight="1" x14ac:dyDescent="0.3">
      <c r="B29" s="44"/>
      <c r="C29" s="44"/>
      <c r="D29" s="44"/>
      <c r="E29" s="44"/>
      <c r="F29" s="44"/>
      <c r="G29" s="44"/>
      <c r="H29" s="44"/>
      <c r="I29" s="44"/>
      <c r="J29" s="44"/>
      <c r="K29" s="44"/>
    </row>
    <row r="30" spans="1:11" ht="15" customHeight="1" x14ac:dyDescent="0.3">
      <c r="B30" s="44"/>
      <c r="C30" s="44"/>
      <c r="D30" s="44"/>
      <c r="E30" s="44"/>
      <c r="F30" s="44"/>
      <c r="G30" s="44"/>
      <c r="H30" s="44"/>
      <c r="I30" s="44"/>
      <c r="J30" s="44"/>
      <c r="K30" s="44"/>
    </row>
    <row r="31" spans="1:11" ht="15" customHeight="1" x14ac:dyDescent="0.3">
      <c r="B31" s="44"/>
      <c r="C31" s="44"/>
      <c r="D31" s="44"/>
      <c r="E31" s="44"/>
      <c r="F31" s="44"/>
      <c r="G31" s="44"/>
      <c r="H31" s="44"/>
      <c r="I31" s="44"/>
      <c r="J31" s="44"/>
      <c r="K31" s="44"/>
    </row>
    <row r="32" spans="1:11" ht="15" customHeight="1" x14ac:dyDescent="0.3">
      <c r="B32" s="44"/>
      <c r="C32" s="44"/>
      <c r="D32" s="44"/>
      <c r="E32" s="44"/>
      <c r="F32" s="44"/>
      <c r="G32" s="44"/>
      <c r="H32" s="44"/>
      <c r="I32" s="44"/>
      <c r="J32" s="44"/>
      <c r="K32" s="44"/>
    </row>
    <row r="33" spans="1:11" ht="15" customHeight="1" x14ac:dyDescent="0.3">
      <c r="B33" s="44"/>
      <c r="C33" s="44"/>
      <c r="D33" s="44"/>
      <c r="E33" s="44"/>
      <c r="F33" s="44"/>
      <c r="G33" s="44"/>
      <c r="H33" s="44"/>
      <c r="I33" s="44"/>
      <c r="J33" s="44"/>
      <c r="K33" s="44"/>
    </row>
    <row r="34" spans="1:11" ht="15" customHeight="1" x14ac:dyDescent="0.3">
      <c r="B34" s="46"/>
      <c r="C34" s="46"/>
      <c r="D34" s="46"/>
      <c r="E34" s="46"/>
      <c r="F34" s="46"/>
      <c r="G34" s="46"/>
      <c r="H34" s="46"/>
      <c r="I34" s="46"/>
      <c r="J34" s="46"/>
      <c r="K34" s="46"/>
    </row>
    <row r="35" spans="1:11" ht="18.75" customHeight="1" x14ac:dyDescent="0.35">
      <c r="A35" s="3" t="s">
        <v>13</v>
      </c>
      <c r="I35" s="25"/>
      <c r="J35" s="25"/>
      <c r="K35" s="25"/>
    </row>
    <row r="36" spans="1:11" ht="18.600000000000001" thickBot="1" x14ac:dyDescent="0.4">
      <c r="A36" s="3"/>
    </row>
    <row r="37" spans="1:11" ht="33.75" customHeight="1" thickBot="1" x14ac:dyDescent="0.35">
      <c r="A37" s="123" t="s">
        <v>14</v>
      </c>
      <c r="B37" s="124"/>
      <c r="C37" s="124"/>
      <c r="D37" s="125"/>
      <c r="E37" s="76"/>
      <c r="F37" s="76"/>
    </row>
    <row r="38" spans="1:11" s="4" customFormat="1" ht="28.8" x14ac:dyDescent="0.3">
      <c r="A38" s="7" t="s">
        <v>15</v>
      </c>
      <c r="B38" s="20" t="s">
        <v>16</v>
      </c>
      <c r="C38" s="8" t="s">
        <v>17</v>
      </c>
      <c r="D38" s="10" t="s">
        <v>133</v>
      </c>
      <c r="F38" s="77"/>
    </row>
    <row r="39" spans="1:11" x14ac:dyDescent="0.3">
      <c r="A39" s="11" t="s">
        <v>18</v>
      </c>
      <c r="B39" s="19">
        <f>SUM(C39:D39)</f>
        <v>330</v>
      </c>
      <c r="C39" s="6">
        <v>216</v>
      </c>
      <c r="D39" s="12">
        <v>114</v>
      </c>
      <c r="E39" s="78"/>
      <c r="F39" s="78"/>
    </row>
    <row r="40" spans="1:11" x14ac:dyDescent="0.3">
      <c r="A40" s="11" t="s">
        <v>19</v>
      </c>
      <c r="B40" s="19">
        <f>SUM(C40:D40)</f>
        <v>713</v>
      </c>
      <c r="C40" s="6">
        <v>466</v>
      </c>
      <c r="D40" s="12">
        <v>247</v>
      </c>
      <c r="E40" s="78"/>
      <c r="F40" s="78"/>
    </row>
    <row r="41" spans="1:11" x14ac:dyDescent="0.3">
      <c r="A41" s="11" t="s">
        <v>20</v>
      </c>
      <c r="B41" s="19">
        <f>SUM(C41:D41)</f>
        <v>1908</v>
      </c>
      <c r="C41" s="6">
        <v>1248</v>
      </c>
      <c r="D41" s="12">
        <v>660</v>
      </c>
      <c r="E41" s="78"/>
      <c r="F41" s="78"/>
    </row>
    <row r="42" spans="1:11" ht="15" thickBot="1" x14ac:dyDescent="0.35">
      <c r="A42" s="13" t="s">
        <v>21</v>
      </c>
      <c r="B42" s="21">
        <f>SUM(C42:D42)</f>
        <v>648</v>
      </c>
      <c r="C42" s="14">
        <v>424</v>
      </c>
      <c r="D42" s="15">
        <v>224</v>
      </c>
      <c r="E42" s="78"/>
      <c r="F42" s="78"/>
    </row>
    <row r="43" spans="1:11" ht="15" thickBot="1" x14ac:dyDescent="0.35"/>
    <row r="44" spans="1:11" ht="16.2" thickBot="1" x14ac:dyDescent="0.35">
      <c r="A44" s="126" t="s">
        <v>22</v>
      </c>
      <c r="B44" s="127"/>
      <c r="C44" s="127"/>
      <c r="D44" s="127"/>
      <c r="E44" s="128"/>
      <c r="F44" s="82"/>
      <c r="G44" s="82"/>
      <c r="K44" s="1"/>
    </row>
    <row r="45" spans="1:11" s="4" customFormat="1" ht="28.8" x14ac:dyDescent="0.3">
      <c r="A45" s="7" t="s">
        <v>15</v>
      </c>
      <c r="B45" s="20" t="s">
        <v>16</v>
      </c>
      <c r="C45" s="8" t="s">
        <v>17</v>
      </c>
      <c r="D45" s="9" t="s">
        <v>133</v>
      </c>
      <c r="E45" s="10" t="s">
        <v>134</v>
      </c>
      <c r="F45" s="77"/>
      <c r="G45" s="77"/>
      <c r="K45" s="5"/>
    </row>
    <row r="46" spans="1:11" x14ac:dyDescent="0.3">
      <c r="A46" s="11" t="s">
        <v>18</v>
      </c>
      <c r="B46" s="19">
        <f>SUM(C46:E46)</f>
        <v>997</v>
      </c>
      <c r="C46" s="6">
        <v>216</v>
      </c>
      <c r="D46" s="6">
        <v>114</v>
      </c>
      <c r="E46" s="12">
        <v>667</v>
      </c>
      <c r="F46" s="78"/>
      <c r="G46" s="78"/>
      <c r="K46" s="1"/>
    </row>
    <row r="47" spans="1:11" x14ac:dyDescent="0.3">
      <c r="A47" s="11" t="s">
        <v>19</v>
      </c>
      <c r="B47" s="19">
        <f>SUM(C47:E47)</f>
        <v>2155</v>
      </c>
      <c r="C47" s="6">
        <v>466</v>
      </c>
      <c r="D47" s="6">
        <v>247</v>
      </c>
      <c r="E47" s="12">
        <v>1442</v>
      </c>
      <c r="F47" s="78"/>
      <c r="G47" s="78"/>
    </row>
    <row r="48" spans="1:11" x14ac:dyDescent="0.3">
      <c r="A48" s="11" t="s">
        <v>20</v>
      </c>
      <c r="B48" s="19">
        <f>SUM(C48:E48)</f>
        <v>5767</v>
      </c>
      <c r="C48" s="6">
        <v>1248</v>
      </c>
      <c r="D48" s="6">
        <v>660</v>
      </c>
      <c r="E48" s="12">
        <v>3859</v>
      </c>
      <c r="F48" s="78"/>
      <c r="G48" s="78"/>
    </row>
    <row r="49" spans="1:8" ht="15" thickBot="1" x14ac:dyDescent="0.35">
      <c r="A49" s="13" t="s">
        <v>21</v>
      </c>
      <c r="B49" s="21">
        <f>SUM(C49:E49)</f>
        <v>1958</v>
      </c>
      <c r="C49" s="14">
        <v>424</v>
      </c>
      <c r="D49" s="14">
        <v>224</v>
      </c>
      <c r="E49" s="15">
        <v>1310</v>
      </c>
      <c r="F49" s="78"/>
      <c r="G49" s="78"/>
    </row>
    <row r="51" spans="1:8" x14ac:dyDescent="0.3">
      <c r="A51" s="24" t="s">
        <v>23</v>
      </c>
    </row>
    <row r="61" spans="1:8" ht="18" x14ac:dyDescent="0.35">
      <c r="A61" s="3" t="s">
        <v>24</v>
      </c>
    </row>
    <row r="62" spans="1:8" ht="18.600000000000001" thickBot="1" x14ac:dyDescent="0.4">
      <c r="A62" s="3"/>
    </row>
    <row r="63" spans="1:8" ht="16.2" thickBot="1" x14ac:dyDescent="0.35">
      <c r="A63" s="126" t="s">
        <v>25</v>
      </c>
      <c r="B63" s="127"/>
      <c r="C63" s="127"/>
      <c r="D63" s="127"/>
      <c r="E63" s="128"/>
      <c r="F63" s="82"/>
      <c r="G63" s="82"/>
      <c r="H63" s="82"/>
    </row>
    <row r="64" spans="1:8" s="4" customFormat="1" ht="28.8" x14ac:dyDescent="0.3">
      <c r="A64" s="7" t="s">
        <v>26</v>
      </c>
      <c r="B64" s="20" t="s">
        <v>16</v>
      </c>
      <c r="C64" s="8" t="s">
        <v>27</v>
      </c>
      <c r="D64" s="9" t="s">
        <v>133</v>
      </c>
      <c r="E64" s="10" t="s">
        <v>135</v>
      </c>
      <c r="F64" s="77"/>
      <c r="G64" s="77"/>
    </row>
    <row r="65" spans="1:8" x14ac:dyDescent="0.3">
      <c r="A65" s="11" t="s">
        <v>30</v>
      </c>
      <c r="B65" s="19">
        <f>SUM(C65:E65)</f>
        <v>585</v>
      </c>
      <c r="C65" s="6">
        <v>171</v>
      </c>
      <c r="D65" s="6">
        <v>77</v>
      </c>
      <c r="E65" s="12">
        <v>337</v>
      </c>
      <c r="F65" s="78"/>
      <c r="G65" s="78"/>
      <c r="H65" s="78"/>
    </row>
    <row r="66" spans="1:8" x14ac:dyDescent="0.3">
      <c r="A66" s="11" t="s">
        <v>31</v>
      </c>
      <c r="B66" s="19">
        <f t="shared" ref="B66:B78" si="0">SUM(C66:E66)</f>
        <v>807</v>
      </c>
      <c r="C66" s="6">
        <v>236</v>
      </c>
      <c r="D66" s="6">
        <v>106</v>
      </c>
      <c r="E66" s="83">
        <v>465</v>
      </c>
      <c r="F66" s="78"/>
      <c r="G66" s="78"/>
      <c r="H66" s="78"/>
    </row>
    <row r="67" spans="1:8" x14ac:dyDescent="0.3">
      <c r="A67" s="11" t="s">
        <v>32</v>
      </c>
      <c r="B67" s="19">
        <f t="shared" si="0"/>
        <v>979</v>
      </c>
      <c r="C67" s="6">
        <v>286</v>
      </c>
      <c r="D67" s="6">
        <v>128</v>
      </c>
      <c r="E67" s="83">
        <v>565</v>
      </c>
      <c r="F67" s="78"/>
      <c r="G67" s="78"/>
      <c r="H67" s="78"/>
    </row>
    <row r="68" spans="1:8" x14ac:dyDescent="0.3">
      <c r="A68" s="11" t="s">
        <v>33</v>
      </c>
      <c r="B68" s="19">
        <f t="shared" si="0"/>
        <v>1128</v>
      </c>
      <c r="C68" s="6">
        <v>330</v>
      </c>
      <c r="D68" s="6">
        <v>147</v>
      </c>
      <c r="E68" s="83">
        <v>651</v>
      </c>
      <c r="F68" s="78"/>
      <c r="G68" s="78"/>
      <c r="H68" s="78"/>
    </row>
    <row r="69" spans="1:8" x14ac:dyDescent="0.3">
      <c r="A69" s="11" t="s">
        <v>34</v>
      </c>
      <c r="B69" s="19">
        <f t="shared" si="0"/>
        <v>1243</v>
      </c>
      <c r="C69" s="6">
        <v>363</v>
      </c>
      <c r="D69" s="6">
        <v>163</v>
      </c>
      <c r="E69" s="83">
        <v>717</v>
      </c>
      <c r="F69" s="78"/>
      <c r="G69" s="78"/>
      <c r="H69" s="78"/>
    </row>
    <row r="70" spans="1:8" x14ac:dyDescent="0.3">
      <c r="A70" s="11" t="s">
        <v>35</v>
      </c>
      <c r="B70" s="19">
        <f t="shared" si="0"/>
        <v>1349</v>
      </c>
      <c r="C70" s="6">
        <v>394</v>
      </c>
      <c r="D70" s="6">
        <v>177</v>
      </c>
      <c r="E70" s="83">
        <v>778</v>
      </c>
      <c r="F70" s="78"/>
      <c r="G70" s="78"/>
      <c r="H70" s="78"/>
    </row>
    <row r="71" spans="1:8" x14ac:dyDescent="0.3">
      <c r="A71" s="11" t="s">
        <v>36</v>
      </c>
      <c r="B71" s="19">
        <f t="shared" si="0"/>
        <v>1444</v>
      </c>
      <c r="C71" s="6">
        <v>422</v>
      </c>
      <c r="D71" s="6">
        <v>189</v>
      </c>
      <c r="E71" s="83">
        <v>833</v>
      </c>
      <c r="F71" s="78"/>
      <c r="G71" s="78"/>
      <c r="H71" s="78"/>
    </row>
    <row r="72" spans="1:8" x14ac:dyDescent="0.3">
      <c r="A72" s="11" t="s">
        <v>37</v>
      </c>
      <c r="B72" s="19">
        <f t="shared" si="0"/>
        <v>1523</v>
      </c>
      <c r="C72" s="6">
        <v>445</v>
      </c>
      <c r="D72" s="6">
        <v>199</v>
      </c>
      <c r="E72" s="83">
        <v>879</v>
      </c>
      <c r="F72" s="78"/>
      <c r="G72" s="78"/>
      <c r="H72" s="78"/>
    </row>
    <row r="73" spans="1:8" x14ac:dyDescent="0.3">
      <c r="A73" s="11" t="s">
        <v>38</v>
      </c>
      <c r="B73" s="19">
        <f t="shared" si="0"/>
        <v>1602</v>
      </c>
      <c r="C73" s="6">
        <v>468</v>
      </c>
      <c r="D73" s="6">
        <v>210</v>
      </c>
      <c r="E73" s="83">
        <v>924</v>
      </c>
      <c r="F73" s="78"/>
      <c r="G73" s="78"/>
      <c r="H73" s="78"/>
    </row>
    <row r="74" spans="1:8" x14ac:dyDescent="0.3">
      <c r="A74" s="11" t="s">
        <v>39</v>
      </c>
      <c r="B74" s="19">
        <f t="shared" si="0"/>
        <v>1666</v>
      </c>
      <c r="C74" s="6">
        <v>487</v>
      </c>
      <c r="D74" s="6">
        <v>218</v>
      </c>
      <c r="E74" s="83">
        <v>961</v>
      </c>
      <c r="F74" s="78"/>
      <c r="G74" s="78"/>
      <c r="H74" s="78"/>
    </row>
    <row r="75" spans="1:8" x14ac:dyDescent="0.3">
      <c r="A75" s="11" t="s">
        <v>40</v>
      </c>
      <c r="B75" s="19">
        <f t="shared" si="0"/>
        <v>1728</v>
      </c>
      <c r="C75" s="6">
        <v>505</v>
      </c>
      <c r="D75" s="6">
        <v>226</v>
      </c>
      <c r="E75" s="83">
        <v>997</v>
      </c>
      <c r="F75" s="78"/>
      <c r="G75" s="78"/>
      <c r="H75" s="78"/>
    </row>
    <row r="76" spans="1:8" x14ac:dyDescent="0.3">
      <c r="A76" s="11" t="s">
        <v>41</v>
      </c>
      <c r="B76" s="19">
        <f t="shared" si="0"/>
        <v>1787</v>
      </c>
      <c r="C76" s="6">
        <v>522</v>
      </c>
      <c r="D76" s="6">
        <v>234</v>
      </c>
      <c r="E76" s="83">
        <v>1031</v>
      </c>
      <c r="F76" s="78"/>
      <c r="G76" s="78"/>
      <c r="H76" s="78"/>
    </row>
    <row r="77" spans="1:8" x14ac:dyDescent="0.3">
      <c r="A77" s="11" t="s">
        <v>42</v>
      </c>
      <c r="B77" s="19">
        <f t="shared" si="0"/>
        <v>1845</v>
      </c>
      <c r="C77" s="6">
        <v>539</v>
      </c>
      <c r="D77" s="6">
        <v>242</v>
      </c>
      <c r="E77" s="83">
        <v>1064</v>
      </c>
      <c r="F77" s="78"/>
      <c r="G77" s="78"/>
      <c r="H77" s="78"/>
    </row>
    <row r="78" spans="1:8" x14ac:dyDescent="0.3">
      <c r="A78" s="11" t="s">
        <v>43</v>
      </c>
      <c r="B78" s="19">
        <f t="shared" si="0"/>
        <v>1892</v>
      </c>
      <c r="C78" s="6">
        <v>553</v>
      </c>
      <c r="D78" s="6">
        <v>248</v>
      </c>
      <c r="E78" s="83">
        <v>1091</v>
      </c>
      <c r="F78" s="78"/>
      <c r="G78" s="78"/>
      <c r="H78" s="78"/>
    </row>
    <row r="79" spans="1:8" ht="15" thickBot="1" x14ac:dyDescent="0.35">
      <c r="A79" s="13" t="s">
        <v>44</v>
      </c>
      <c r="B79" s="21">
        <f>SUM(C79:E79)</f>
        <v>1940</v>
      </c>
      <c r="C79" s="14">
        <v>567</v>
      </c>
      <c r="D79" s="14">
        <v>254</v>
      </c>
      <c r="E79" s="84">
        <v>1119</v>
      </c>
      <c r="F79" s="78"/>
      <c r="G79" s="78"/>
      <c r="H79" s="78"/>
    </row>
    <row r="80" spans="1:8" ht="15" thickBot="1" x14ac:dyDescent="0.35"/>
    <row r="81" spans="1:8" ht="16.2" thickBot="1" x14ac:dyDescent="0.35">
      <c r="A81" s="126" t="s">
        <v>45</v>
      </c>
      <c r="B81" s="127"/>
      <c r="C81" s="127"/>
      <c r="D81" s="127"/>
      <c r="E81" s="128"/>
      <c r="F81" s="82"/>
      <c r="G81" s="82"/>
      <c r="H81" s="82"/>
    </row>
    <row r="82" spans="1:8" s="4" customFormat="1" ht="28.8" x14ac:dyDescent="0.3">
      <c r="A82" s="7" t="s">
        <v>26</v>
      </c>
      <c r="B82" s="20" t="s">
        <v>16</v>
      </c>
      <c r="C82" s="8" t="s">
        <v>27</v>
      </c>
      <c r="D82" s="9" t="s">
        <v>133</v>
      </c>
      <c r="E82" s="10" t="s">
        <v>136</v>
      </c>
      <c r="F82" s="77"/>
      <c r="G82" s="77"/>
    </row>
    <row r="83" spans="1:8" x14ac:dyDescent="0.3">
      <c r="A83" s="11" t="s">
        <v>30</v>
      </c>
      <c r="B83" s="19">
        <f>SUM(C83:E83)</f>
        <v>348</v>
      </c>
      <c r="C83" s="6">
        <v>171</v>
      </c>
      <c r="D83" s="6">
        <v>77</v>
      </c>
      <c r="E83" s="12">
        <v>100</v>
      </c>
      <c r="F83" s="78"/>
      <c r="G83" s="78"/>
      <c r="H83" s="78"/>
    </row>
    <row r="84" spans="1:8" x14ac:dyDescent="0.3">
      <c r="A84" s="11" t="s">
        <v>31</v>
      </c>
      <c r="B84" s="19">
        <f>SUM(C84:E84)</f>
        <v>480</v>
      </c>
      <c r="C84" s="6">
        <v>236</v>
      </c>
      <c r="D84" s="6">
        <v>106</v>
      </c>
      <c r="E84" s="12">
        <v>138</v>
      </c>
      <c r="F84" s="78"/>
      <c r="G84" s="78"/>
      <c r="H84" s="78"/>
    </row>
    <row r="85" spans="1:8" x14ac:dyDescent="0.3">
      <c r="A85" s="11" t="s">
        <v>32</v>
      </c>
      <c r="B85" s="19">
        <f>SUM(C85:E85)</f>
        <v>581</v>
      </c>
      <c r="C85" s="6">
        <v>286</v>
      </c>
      <c r="D85" s="6">
        <v>128</v>
      </c>
      <c r="E85" s="12">
        <v>167</v>
      </c>
      <c r="F85" s="78"/>
      <c r="G85" s="78"/>
      <c r="H85" s="78"/>
    </row>
    <row r="86" spans="1:8" x14ac:dyDescent="0.3">
      <c r="A86" s="11" t="s">
        <v>33</v>
      </c>
      <c r="B86" s="19">
        <f t="shared" ref="B86:B95" si="1">SUM(C86:E86)</f>
        <v>670</v>
      </c>
      <c r="C86" s="6">
        <v>330</v>
      </c>
      <c r="D86" s="6">
        <v>147</v>
      </c>
      <c r="E86" s="12">
        <v>193</v>
      </c>
      <c r="F86" s="78"/>
      <c r="G86" s="78"/>
      <c r="H86" s="78"/>
    </row>
    <row r="87" spans="1:8" x14ac:dyDescent="0.3">
      <c r="A87" s="11" t="s">
        <v>34</v>
      </c>
      <c r="B87" s="19">
        <f t="shared" si="1"/>
        <v>738</v>
      </c>
      <c r="C87" s="6">
        <v>363</v>
      </c>
      <c r="D87" s="6">
        <v>163</v>
      </c>
      <c r="E87" s="12">
        <v>212</v>
      </c>
      <c r="F87" s="78"/>
      <c r="G87" s="78"/>
      <c r="H87" s="78"/>
    </row>
    <row r="88" spans="1:8" x14ac:dyDescent="0.3">
      <c r="A88" s="11" t="s">
        <v>35</v>
      </c>
      <c r="B88" s="19">
        <f t="shared" si="1"/>
        <v>801</v>
      </c>
      <c r="C88" s="6">
        <v>394</v>
      </c>
      <c r="D88" s="6">
        <v>177</v>
      </c>
      <c r="E88" s="12">
        <v>230</v>
      </c>
      <c r="F88" s="78"/>
      <c r="G88" s="78"/>
      <c r="H88" s="78"/>
    </row>
    <row r="89" spans="1:8" x14ac:dyDescent="0.3">
      <c r="A89" s="11" t="s">
        <v>36</v>
      </c>
      <c r="B89" s="19">
        <f t="shared" si="1"/>
        <v>858</v>
      </c>
      <c r="C89" s="6">
        <v>422</v>
      </c>
      <c r="D89" s="6">
        <v>189</v>
      </c>
      <c r="E89" s="12">
        <v>247</v>
      </c>
      <c r="F89" s="78"/>
      <c r="G89" s="78"/>
      <c r="H89" s="78"/>
    </row>
    <row r="90" spans="1:8" x14ac:dyDescent="0.3">
      <c r="A90" s="11" t="s">
        <v>37</v>
      </c>
      <c r="B90" s="19">
        <f t="shared" si="1"/>
        <v>904</v>
      </c>
      <c r="C90" s="6">
        <v>445</v>
      </c>
      <c r="D90" s="6">
        <v>199</v>
      </c>
      <c r="E90" s="12">
        <v>260</v>
      </c>
      <c r="F90" s="78"/>
      <c r="G90" s="78"/>
      <c r="H90" s="78"/>
    </row>
    <row r="91" spans="1:8" x14ac:dyDescent="0.3">
      <c r="A91" s="11" t="s">
        <v>38</v>
      </c>
      <c r="B91" s="19">
        <f t="shared" si="1"/>
        <v>952</v>
      </c>
      <c r="C91" s="6">
        <v>468</v>
      </c>
      <c r="D91" s="6">
        <v>210</v>
      </c>
      <c r="E91" s="12">
        <v>274</v>
      </c>
      <c r="F91" s="78"/>
      <c r="G91" s="78"/>
      <c r="H91" s="78"/>
    </row>
    <row r="92" spans="1:8" x14ac:dyDescent="0.3">
      <c r="A92" s="11" t="s">
        <v>39</v>
      </c>
      <c r="B92" s="19">
        <f t="shared" si="1"/>
        <v>989</v>
      </c>
      <c r="C92" s="6">
        <v>487</v>
      </c>
      <c r="D92" s="6">
        <v>218</v>
      </c>
      <c r="E92" s="12">
        <v>284</v>
      </c>
      <c r="F92" s="78"/>
      <c r="G92" s="78"/>
      <c r="H92" s="78"/>
    </row>
    <row r="93" spans="1:8" x14ac:dyDescent="0.3">
      <c r="A93" s="11" t="s">
        <v>40</v>
      </c>
      <c r="B93" s="19">
        <f t="shared" si="1"/>
        <v>1026</v>
      </c>
      <c r="C93" s="6">
        <v>505</v>
      </c>
      <c r="D93" s="6">
        <v>226</v>
      </c>
      <c r="E93" s="12">
        <v>295</v>
      </c>
      <c r="F93" s="78"/>
      <c r="G93" s="78"/>
      <c r="H93" s="78"/>
    </row>
    <row r="94" spans="1:8" x14ac:dyDescent="0.3">
      <c r="A94" s="11" t="s">
        <v>41</v>
      </c>
      <c r="B94" s="19">
        <f t="shared" si="1"/>
        <v>1061</v>
      </c>
      <c r="C94" s="6">
        <v>522</v>
      </c>
      <c r="D94" s="6">
        <v>234</v>
      </c>
      <c r="E94" s="12">
        <v>305</v>
      </c>
      <c r="F94" s="78"/>
      <c r="G94" s="78"/>
      <c r="H94" s="78"/>
    </row>
    <row r="95" spans="1:8" x14ac:dyDescent="0.3">
      <c r="A95" s="11" t="s">
        <v>42</v>
      </c>
      <c r="B95" s="19">
        <f t="shared" si="1"/>
        <v>1096</v>
      </c>
      <c r="C95" s="6">
        <v>539</v>
      </c>
      <c r="D95" s="6">
        <v>242</v>
      </c>
      <c r="E95" s="12">
        <v>315</v>
      </c>
      <c r="F95" s="78"/>
      <c r="G95" s="78"/>
      <c r="H95" s="78"/>
    </row>
    <row r="96" spans="1:8" x14ac:dyDescent="0.3">
      <c r="A96" s="11" t="s">
        <v>43</v>
      </c>
      <c r="B96" s="19">
        <f>SUM(C96:E96)</f>
        <v>1124</v>
      </c>
      <c r="C96" s="6">
        <v>553</v>
      </c>
      <c r="D96" s="6">
        <v>248</v>
      </c>
      <c r="E96" s="12">
        <v>323</v>
      </c>
      <c r="F96" s="78"/>
      <c r="G96" s="78"/>
      <c r="H96" s="78"/>
    </row>
    <row r="97" spans="1:8" ht="15" thickBot="1" x14ac:dyDescent="0.35">
      <c r="A97" s="13" t="s">
        <v>44</v>
      </c>
      <c r="B97" s="21">
        <f>SUM(C97:E97)</f>
        <v>1152</v>
      </c>
      <c r="C97" s="14">
        <v>567</v>
      </c>
      <c r="D97" s="14">
        <v>254</v>
      </c>
      <c r="E97" s="15">
        <v>331</v>
      </c>
      <c r="F97" s="78"/>
      <c r="G97" s="78"/>
      <c r="H97" s="78"/>
    </row>
    <row r="98" spans="1:8" ht="15" thickBot="1" x14ac:dyDescent="0.35"/>
    <row r="99" spans="1:8" ht="35.25" customHeight="1" thickBot="1" x14ac:dyDescent="0.35">
      <c r="A99" s="123" t="s">
        <v>46</v>
      </c>
      <c r="B99" s="124"/>
      <c r="C99" s="124"/>
      <c r="D99" s="124"/>
      <c r="E99" s="125"/>
      <c r="F99" s="76"/>
      <c r="G99" s="76"/>
      <c r="H99" s="76"/>
    </row>
    <row r="100" spans="1:8" s="4" customFormat="1" ht="28.8" x14ac:dyDescent="0.3">
      <c r="A100" s="7" t="s">
        <v>26</v>
      </c>
      <c r="B100" s="20" t="s">
        <v>16</v>
      </c>
      <c r="C100" s="8" t="s">
        <v>27</v>
      </c>
      <c r="D100" s="9" t="s">
        <v>133</v>
      </c>
      <c r="E100" s="10" t="s">
        <v>136</v>
      </c>
      <c r="F100" s="77"/>
      <c r="G100" s="77"/>
    </row>
    <row r="101" spans="1:8" x14ac:dyDescent="0.3">
      <c r="A101" s="11" t="s">
        <v>30</v>
      </c>
      <c r="B101" s="19">
        <f>SUM(C101:E101)</f>
        <v>670</v>
      </c>
      <c r="C101" s="6">
        <v>171</v>
      </c>
      <c r="D101" s="6">
        <v>77</v>
      </c>
      <c r="E101" s="12">
        <v>422</v>
      </c>
      <c r="F101" s="78"/>
      <c r="G101" s="78"/>
      <c r="H101" s="78"/>
    </row>
    <row r="102" spans="1:8" x14ac:dyDescent="0.3">
      <c r="A102" s="11" t="s">
        <v>31</v>
      </c>
      <c r="B102" s="19">
        <f t="shared" ref="B102:B113" si="2">SUM(C102:E102)</f>
        <v>923</v>
      </c>
      <c r="C102" s="6">
        <v>236</v>
      </c>
      <c r="D102" s="6">
        <v>106</v>
      </c>
      <c r="E102" s="12">
        <v>581</v>
      </c>
      <c r="F102" s="78"/>
      <c r="G102" s="78"/>
      <c r="H102" s="78"/>
    </row>
    <row r="103" spans="1:8" x14ac:dyDescent="0.3">
      <c r="A103" s="11" t="s">
        <v>32</v>
      </c>
      <c r="B103" s="19">
        <f t="shared" si="2"/>
        <v>1121</v>
      </c>
      <c r="C103" s="6">
        <v>286</v>
      </c>
      <c r="D103" s="6">
        <v>128</v>
      </c>
      <c r="E103" s="12">
        <v>707</v>
      </c>
      <c r="F103" s="78"/>
      <c r="G103" s="78"/>
      <c r="H103" s="78"/>
    </row>
    <row r="104" spans="1:8" x14ac:dyDescent="0.3">
      <c r="A104" s="11" t="s">
        <v>33</v>
      </c>
      <c r="B104" s="19">
        <f t="shared" si="2"/>
        <v>1290</v>
      </c>
      <c r="C104" s="6">
        <v>330</v>
      </c>
      <c r="D104" s="6">
        <v>147</v>
      </c>
      <c r="E104" s="12">
        <v>813</v>
      </c>
      <c r="F104" s="78"/>
      <c r="G104" s="78"/>
      <c r="H104" s="78"/>
    </row>
    <row r="105" spans="1:8" x14ac:dyDescent="0.3">
      <c r="A105" s="11" t="s">
        <v>34</v>
      </c>
      <c r="B105" s="19">
        <f t="shared" si="2"/>
        <v>1423</v>
      </c>
      <c r="C105" s="6">
        <v>363</v>
      </c>
      <c r="D105" s="6">
        <v>163</v>
      </c>
      <c r="E105" s="12">
        <v>897</v>
      </c>
      <c r="F105" s="78"/>
      <c r="G105" s="78"/>
      <c r="H105" s="78"/>
    </row>
    <row r="106" spans="1:8" x14ac:dyDescent="0.3">
      <c r="A106" s="11" t="s">
        <v>35</v>
      </c>
      <c r="B106" s="19">
        <f t="shared" si="2"/>
        <v>1544</v>
      </c>
      <c r="C106" s="6">
        <v>394</v>
      </c>
      <c r="D106" s="6">
        <v>177</v>
      </c>
      <c r="E106" s="12">
        <v>973</v>
      </c>
      <c r="F106" s="78"/>
      <c r="G106" s="78"/>
      <c r="H106" s="78"/>
    </row>
    <row r="107" spans="1:8" x14ac:dyDescent="0.3">
      <c r="A107" s="11" t="s">
        <v>36</v>
      </c>
      <c r="B107" s="19">
        <f t="shared" si="2"/>
        <v>1652</v>
      </c>
      <c r="C107" s="6">
        <v>422</v>
      </c>
      <c r="D107" s="6">
        <v>189</v>
      </c>
      <c r="E107" s="12">
        <v>1041</v>
      </c>
      <c r="F107" s="78"/>
      <c r="G107" s="78"/>
      <c r="H107" s="78"/>
    </row>
    <row r="108" spans="1:8" x14ac:dyDescent="0.3">
      <c r="A108" s="11" t="s">
        <v>37</v>
      </c>
      <c r="B108" s="19">
        <f t="shared" si="2"/>
        <v>1742</v>
      </c>
      <c r="C108" s="6">
        <v>445</v>
      </c>
      <c r="D108" s="6">
        <v>199</v>
      </c>
      <c r="E108" s="12">
        <v>1098</v>
      </c>
      <c r="F108" s="78"/>
      <c r="G108" s="78"/>
      <c r="H108" s="78"/>
    </row>
    <row r="109" spans="1:8" x14ac:dyDescent="0.3">
      <c r="A109" s="11" t="s">
        <v>38</v>
      </c>
      <c r="B109" s="19">
        <f t="shared" si="2"/>
        <v>1833</v>
      </c>
      <c r="C109" s="6">
        <v>468</v>
      </c>
      <c r="D109" s="6">
        <v>210</v>
      </c>
      <c r="E109" s="12">
        <v>1155</v>
      </c>
      <c r="F109" s="78"/>
      <c r="G109" s="78"/>
      <c r="H109" s="78"/>
    </row>
    <row r="110" spans="1:8" x14ac:dyDescent="0.3">
      <c r="A110" s="11" t="s">
        <v>39</v>
      </c>
      <c r="B110" s="19">
        <f t="shared" si="2"/>
        <v>1906</v>
      </c>
      <c r="C110" s="6">
        <v>487</v>
      </c>
      <c r="D110" s="6">
        <v>218</v>
      </c>
      <c r="E110" s="12">
        <v>1201</v>
      </c>
      <c r="F110" s="78"/>
      <c r="G110" s="78"/>
      <c r="H110" s="78"/>
    </row>
    <row r="111" spans="1:8" x14ac:dyDescent="0.3">
      <c r="A111" s="11" t="s">
        <v>40</v>
      </c>
      <c r="B111" s="19">
        <f t="shared" si="2"/>
        <v>1977</v>
      </c>
      <c r="C111" s="6">
        <v>505</v>
      </c>
      <c r="D111" s="6">
        <v>226</v>
      </c>
      <c r="E111" s="12">
        <v>1246</v>
      </c>
      <c r="F111" s="78"/>
      <c r="G111" s="78"/>
      <c r="H111" s="78"/>
    </row>
    <row r="112" spans="1:8" x14ac:dyDescent="0.3">
      <c r="A112" s="11" t="s">
        <v>41</v>
      </c>
      <c r="B112" s="19">
        <f t="shared" si="2"/>
        <v>2044</v>
      </c>
      <c r="C112" s="6">
        <v>522</v>
      </c>
      <c r="D112" s="6">
        <v>234</v>
      </c>
      <c r="E112" s="12">
        <v>1288</v>
      </c>
      <c r="F112" s="78"/>
      <c r="G112" s="78"/>
      <c r="H112" s="78"/>
    </row>
    <row r="113" spans="1:9" x14ac:dyDescent="0.3">
      <c r="A113" s="11" t="s">
        <v>42</v>
      </c>
      <c r="B113" s="19">
        <f t="shared" si="2"/>
        <v>2111</v>
      </c>
      <c r="C113" s="6">
        <v>539</v>
      </c>
      <c r="D113" s="6">
        <v>242</v>
      </c>
      <c r="E113" s="12">
        <v>1330</v>
      </c>
      <c r="F113" s="78"/>
      <c r="G113" s="78"/>
      <c r="H113" s="78"/>
    </row>
    <row r="114" spans="1:9" x14ac:dyDescent="0.3">
      <c r="A114" s="11" t="s">
        <v>43</v>
      </c>
      <c r="B114" s="19">
        <f>SUM(C114:E114)</f>
        <v>2165</v>
      </c>
      <c r="C114" s="6">
        <v>553</v>
      </c>
      <c r="D114" s="6">
        <v>248</v>
      </c>
      <c r="E114" s="12">
        <v>1364</v>
      </c>
      <c r="F114" s="78"/>
      <c r="G114" s="78"/>
      <c r="H114" s="78"/>
    </row>
    <row r="115" spans="1:9" ht="15" thickBot="1" x14ac:dyDescent="0.35">
      <c r="A115" s="13" t="s">
        <v>44</v>
      </c>
      <c r="B115" s="21">
        <f>SUM(C115:E115)</f>
        <v>2219</v>
      </c>
      <c r="C115" s="14">
        <v>567</v>
      </c>
      <c r="D115" s="14">
        <v>254</v>
      </c>
      <c r="E115" s="15">
        <v>1398</v>
      </c>
      <c r="F115" s="78"/>
      <c r="G115" s="78"/>
      <c r="H115" s="78"/>
    </row>
    <row r="117" spans="1:9" ht="15" thickBot="1" x14ac:dyDescent="0.35"/>
    <row r="118" spans="1:9" ht="16.2" thickBot="1" x14ac:dyDescent="0.35">
      <c r="A118" s="123" t="s">
        <v>47</v>
      </c>
      <c r="B118" s="124"/>
      <c r="C118" s="124"/>
      <c r="D118" s="124"/>
      <c r="E118" s="124"/>
      <c r="F118" s="125"/>
      <c r="G118" s="82"/>
      <c r="H118" s="82"/>
      <c r="I118" s="82"/>
    </row>
    <row r="119" spans="1:9" s="4" customFormat="1" ht="43.2" x14ac:dyDescent="0.3">
      <c r="A119" s="7" t="s">
        <v>26</v>
      </c>
      <c r="B119" s="20" t="s">
        <v>16</v>
      </c>
      <c r="C119" s="8" t="s">
        <v>27</v>
      </c>
      <c r="D119" s="9" t="s">
        <v>133</v>
      </c>
      <c r="E119" s="9" t="s">
        <v>136</v>
      </c>
      <c r="F119" s="10" t="s">
        <v>137</v>
      </c>
      <c r="G119" s="77"/>
      <c r="I119" s="77"/>
    </row>
    <row r="120" spans="1:9" x14ac:dyDescent="0.3">
      <c r="A120" s="11" t="s">
        <v>30</v>
      </c>
      <c r="B120" s="19">
        <f>SUM(C120:F120)</f>
        <v>1572</v>
      </c>
      <c r="C120" s="6">
        <v>171</v>
      </c>
      <c r="D120" s="6">
        <v>77</v>
      </c>
      <c r="E120" s="6">
        <v>422</v>
      </c>
      <c r="F120" s="16">
        <v>902</v>
      </c>
      <c r="G120" s="78"/>
      <c r="H120" s="78"/>
      <c r="I120" s="85"/>
    </row>
    <row r="121" spans="1:9" x14ac:dyDescent="0.3">
      <c r="A121" s="11" t="s">
        <v>31</v>
      </c>
      <c r="B121" s="19">
        <f>SUM(C121:F121)</f>
        <v>2167</v>
      </c>
      <c r="C121" s="6">
        <v>236</v>
      </c>
      <c r="D121" s="6">
        <v>106</v>
      </c>
      <c r="E121" s="6">
        <v>581</v>
      </c>
      <c r="F121" s="16">
        <v>1244</v>
      </c>
      <c r="G121" s="78"/>
      <c r="H121" s="78"/>
      <c r="I121" s="85"/>
    </row>
    <row r="122" spans="1:9" x14ac:dyDescent="0.3">
      <c r="A122" s="11" t="s">
        <v>32</v>
      </c>
      <c r="B122" s="19">
        <f t="shared" ref="B122:B132" si="3">SUM(C122:F122)</f>
        <v>2633</v>
      </c>
      <c r="C122" s="6">
        <v>286</v>
      </c>
      <c r="D122" s="6">
        <v>128</v>
      </c>
      <c r="E122" s="6">
        <v>707</v>
      </c>
      <c r="F122" s="16">
        <v>1512</v>
      </c>
      <c r="G122" s="78"/>
      <c r="H122" s="78"/>
      <c r="I122" s="85"/>
    </row>
    <row r="123" spans="1:9" x14ac:dyDescent="0.3">
      <c r="A123" s="11" t="s">
        <v>33</v>
      </c>
      <c r="B123" s="19">
        <f t="shared" si="3"/>
        <v>3030</v>
      </c>
      <c r="C123" s="6">
        <v>330</v>
      </c>
      <c r="D123" s="6">
        <v>147</v>
      </c>
      <c r="E123" s="6">
        <v>813</v>
      </c>
      <c r="F123" s="16">
        <v>1740</v>
      </c>
      <c r="G123" s="78"/>
      <c r="H123" s="78"/>
      <c r="I123" s="85"/>
    </row>
    <row r="124" spans="1:9" x14ac:dyDescent="0.3">
      <c r="A124" s="11" t="s">
        <v>34</v>
      </c>
      <c r="B124" s="19">
        <f t="shared" si="3"/>
        <v>3342</v>
      </c>
      <c r="C124" s="6">
        <v>363</v>
      </c>
      <c r="D124" s="6">
        <v>163</v>
      </c>
      <c r="E124" s="6">
        <v>897</v>
      </c>
      <c r="F124" s="16">
        <v>1919</v>
      </c>
      <c r="G124" s="78"/>
      <c r="H124" s="78"/>
      <c r="I124" s="85"/>
    </row>
    <row r="125" spans="1:9" x14ac:dyDescent="0.3">
      <c r="A125" s="11" t="s">
        <v>35</v>
      </c>
      <c r="B125" s="19">
        <f t="shared" si="3"/>
        <v>3625</v>
      </c>
      <c r="C125" s="6">
        <v>394</v>
      </c>
      <c r="D125" s="6">
        <v>177</v>
      </c>
      <c r="E125" s="6">
        <v>973</v>
      </c>
      <c r="F125" s="16">
        <v>2081</v>
      </c>
      <c r="G125" s="78"/>
      <c r="H125" s="78"/>
      <c r="I125" s="85"/>
    </row>
    <row r="126" spans="1:9" x14ac:dyDescent="0.3">
      <c r="A126" s="11" t="s">
        <v>36</v>
      </c>
      <c r="B126" s="19">
        <f t="shared" si="3"/>
        <v>3880</v>
      </c>
      <c r="C126" s="6">
        <v>422</v>
      </c>
      <c r="D126" s="6">
        <v>189</v>
      </c>
      <c r="E126" s="6">
        <v>1041</v>
      </c>
      <c r="F126" s="16">
        <v>2228</v>
      </c>
      <c r="G126" s="78"/>
      <c r="H126" s="78"/>
      <c r="I126" s="85"/>
    </row>
    <row r="127" spans="1:9" x14ac:dyDescent="0.3">
      <c r="A127" s="11" t="s">
        <v>37</v>
      </c>
      <c r="B127" s="19">
        <f t="shared" si="3"/>
        <v>4092</v>
      </c>
      <c r="C127" s="6">
        <v>445</v>
      </c>
      <c r="D127" s="6">
        <v>199</v>
      </c>
      <c r="E127" s="6">
        <v>1098</v>
      </c>
      <c r="F127" s="16">
        <v>2350</v>
      </c>
      <c r="G127" s="78"/>
      <c r="H127" s="78"/>
      <c r="I127" s="85"/>
    </row>
    <row r="128" spans="1:9" x14ac:dyDescent="0.3">
      <c r="A128" s="11" t="s">
        <v>38</v>
      </c>
      <c r="B128" s="19">
        <f t="shared" si="3"/>
        <v>4305</v>
      </c>
      <c r="C128" s="6">
        <v>468</v>
      </c>
      <c r="D128" s="6">
        <v>210</v>
      </c>
      <c r="E128" s="6">
        <v>1155</v>
      </c>
      <c r="F128" s="16">
        <v>2472</v>
      </c>
      <c r="G128" s="78"/>
      <c r="H128" s="78"/>
      <c r="I128" s="85"/>
    </row>
    <row r="129" spans="1:9" x14ac:dyDescent="0.3">
      <c r="A129" s="11" t="s">
        <v>39</v>
      </c>
      <c r="B129" s="19">
        <f t="shared" si="3"/>
        <v>4475</v>
      </c>
      <c r="C129" s="6">
        <v>487</v>
      </c>
      <c r="D129" s="6">
        <v>218</v>
      </c>
      <c r="E129" s="6">
        <v>1201</v>
      </c>
      <c r="F129" s="16">
        <v>2569</v>
      </c>
      <c r="G129" s="78"/>
      <c r="H129" s="78"/>
      <c r="I129" s="85"/>
    </row>
    <row r="130" spans="1:9" x14ac:dyDescent="0.3">
      <c r="A130" s="11" t="s">
        <v>40</v>
      </c>
      <c r="B130" s="19">
        <f t="shared" si="3"/>
        <v>4644</v>
      </c>
      <c r="C130" s="6">
        <v>505</v>
      </c>
      <c r="D130" s="6">
        <v>226</v>
      </c>
      <c r="E130" s="6">
        <v>1246</v>
      </c>
      <c r="F130" s="16">
        <v>2667</v>
      </c>
      <c r="G130" s="78"/>
      <c r="H130" s="78"/>
      <c r="I130" s="85"/>
    </row>
    <row r="131" spans="1:9" x14ac:dyDescent="0.3">
      <c r="A131" s="11" t="s">
        <v>41</v>
      </c>
      <c r="B131" s="19">
        <f t="shared" si="3"/>
        <v>4800</v>
      </c>
      <c r="C131" s="6">
        <v>522</v>
      </c>
      <c r="D131" s="6">
        <v>234</v>
      </c>
      <c r="E131" s="6">
        <v>1288</v>
      </c>
      <c r="F131" s="16">
        <v>2756</v>
      </c>
      <c r="G131" s="78"/>
      <c r="H131" s="78"/>
      <c r="I131" s="85"/>
    </row>
    <row r="132" spans="1:9" x14ac:dyDescent="0.3">
      <c r="A132" s="11" t="s">
        <v>42</v>
      </c>
      <c r="B132" s="19">
        <f t="shared" si="3"/>
        <v>4957</v>
      </c>
      <c r="C132" s="6">
        <v>539</v>
      </c>
      <c r="D132" s="6">
        <v>242</v>
      </c>
      <c r="E132" s="6">
        <v>1330</v>
      </c>
      <c r="F132" s="16">
        <v>2846</v>
      </c>
      <c r="G132" s="78"/>
      <c r="H132" s="78"/>
      <c r="I132" s="85"/>
    </row>
    <row r="133" spans="1:9" x14ac:dyDescent="0.3">
      <c r="A133" s="11" t="s">
        <v>43</v>
      </c>
      <c r="B133" s="19">
        <f>SUM(C133:F133)</f>
        <v>5084</v>
      </c>
      <c r="C133" s="6">
        <v>553</v>
      </c>
      <c r="D133" s="6">
        <v>248</v>
      </c>
      <c r="E133" s="6">
        <v>1364</v>
      </c>
      <c r="F133" s="16">
        <v>2919</v>
      </c>
      <c r="G133" s="78"/>
      <c r="H133" s="78"/>
      <c r="I133" s="85"/>
    </row>
    <row r="134" spans="1:9" ht="15" thickBot="1" x14ac:dyDescent="0.35">
      <c r="A134" s="13" t="s">
        <v>44</v>
      </c>
      <c r="B134" s="21">
        <f>SUM(C134:F134)</f>
        <v>5211</v>
      </c>
      <c r="C134" s="14">
        <v>567</v>
      </c>
      <c r="D134" s="14">
        <v>254</v>
      </c>
      <c r="E134" s="14">
        <v>1398</v>
      </c>
      <c r="F134" s="17">
        <v>2992</v>
      </c>
      <c r="G134" s="78"/>
      <c r="H134" s="78"/>
      <c r="I134" s="85"/>
    </row>
    <row r="135" spans="1:9" ht="15" thickBot="1" x14ac:dyDescent="0.35"/>
    <row r="136" spans="1:9" ht="16.2" thickBot="1" x14ac:dyDescent="0.35">
      <c r="A136" s="126" t="s">
        <v>48</v>
      </c>
      <c r="B136" s="127"/>
      <c r="C136" s="127"/>
      <c r="D136" s="127"/>
      <c r="E136" s="128"/>
      <c r="F136" s="82"/>
      <c r="G136" s="82"/>
      <c r="H136" s="82"/>
    </row>
    <row r="137" spans="1:9" s="4" customFormat="1" ht="28.8" x14ac:dyDescent="0.3">
      <c r="A137" s="7" t="s">
        <v>26</v>
      </c>
      <c r="B137" s="20" t="s">
        <v>16</v>
      </c>
      <c r="C137" s="8" t="s">
        <v>27</v>
      </c>
      <c r="D137" s="9" t="s">
        <v>133</v>
      </c>
      <c r="E137" s="10" t="s">
        <v>135</v>
      </c>
      <c r="F137" s="77"/>
      <c r="G137" s="77"/>
    </row>
    <row r="138" spans="1:9" x14ac:dyDescent="0.3">
      <c r="A138" s="11" t="s">
        <v>30</v>
      </c>
      <c r="B138" s="19">
        <f>SUM(C138:E138)</f>
        <v>681</v>
      </c>
      <c r="C138" s="6">
        <v>171</v>
      </c>
      <c r="D138" s="6">
        <v>77</v>
      </c>
      <c r="E138" s="12">
        <v>433</v>
      </c>
      <c r="F138" s="78"/>
      <c r="G138" s="78"/>
      <c r="H138" s="78"/>
    </row>
    <row r="139" spans="1:9" x14ac:dyDescent="0.3">
      <c r="A139" s="11" t="s">
        <v>31</v>
      </c>
      <c r="B139" s="19">
        <f>SUM(C139:E139)</f>
        <v>939</v>
      </c>
      <c r="C139" s="6">
        <v>236</v>
      </c>
      <c r="D139" s="6">
        <v>106</v>
      </c>
      <c r="E139" s="12">
        <v>597</v>
      </c>
      <c r="F139" s="78"/>
      <c r="G139" s="78"/>
      <c r="H139" s="78"/>
    </row>
    <row r="140" spans="1:9" x14ac:dyDescent="0.3">
      <c r="A140" s="11" t="s">
        <v>32</v>
      </c>
      <c r="B140" s="19">
        <f t="shared" ref="B140:B151" si="4">SUM(C140:E140)</f>
        <v>1139</v>
      </c>
      <c r="C140" s="6">
        <v>286</v>
      </c>
      <c r="D140" s="6">
        <v>128</v>
      </c>
      <c r="E140" s="12">
        <v>725</v>
      </c>
      <c r="F140" s="78"/>
      <c r="G140" s="78"/>
      <c r="H140" s="78"/>
    </row>
    <row r="141" spans="1:9" x14ac:dyDescent="0.3">
      <c r="A141" s="11" t="s">
        <v>33</v>
      </c>
      <c r="B141" s="19">
        <f t="shared" si="4"/>
        <v>1312</v>
      </c>
      <c r="C141" s="6">
        <v>330</v>
      </c>
      <c r="D141" s="6">
        <v>147</v>
      </c>
      <c r="E141" s="12">
        <v>835</v>
      </c>
      <c r="F141" s="78"/>
      <c r="G141" s="78"/>
      <c r="H141" s="78"/>
    </row>
    <row r="142" spans="1:9" x14ac:dyDescent="0.3">
      <c r="A142" s="11" t="s">
        <v>34</v>
      </c>
      <c r="B142" s="19">
        <f t="shared" si="4"/>
        <v>1446</v>
      </c>
      <c r="C142" s="6">
        <v>363</v>
      </c>
      <c r="D142" s="6">
        <v>163</v>
      </c>
      <c r="E142" s="12">
        <v>920</v>
      </c>
      <c r="F142" s="78"/>
      <c r="G142" s="78"/>
      <c r="H142" s="78"/>
    </row>
    <row r="143" spans="1:9" x14ac:dyDescent="0.3">
      <c r="A143" s="11" t="s">
        <v>35</v>
      </c>
      <c r="B143" s="19">
        <f t="shared" si="4"/>
        <v>1569</v>
      </c>
      <c r="C143" s="6">
        <v>394</v>
      </c>
      <c r="D143" s="6">
        <v>177</v>
      </c>
      <c r="E143" s="12">
        <v>998</v>
      </c>
      <c r="F143" s="78"/>
      <c r="G143" s="78"/>
      <c r="H143" s="78"/>
    </row>
    <row r="144" spans="1:9" x14ac:dyDescent="0.3">
      <c r="A144" s="11" t="s">
        <v>36</v>
      </c>
      <c r="B144" s="19">
        <f t="shared" si="4"/>
        <v>1680</v>
      </c>
      <c r="C144" s="6">
        <v>422</v>
      </c>
      <c r="D144" s="6">
        <v>189</v>
      </c>
      <c r="E144" s="12">
        <v>1069</v>
      </c>
      <c r="F144" s="78"/>
      <c r="G144" s="78"/>
      <c r="H144" s="78"/>
    </row>
    <row r="145" spans="1:8" x14ac:dyDescent="0.3">
      <c r="A145" s="11" t="s">
        <v>37</v>
      </c>
      <c r="B145" s="19">
        <f t="shared" si="4"/>
        <v>1771</v>
      </c>
      <c r="C145" s="6">
        <v>445</v>
      </c>
      <c r="D145" s="6">
        <v>199</v>
      </c>
      <c r="E145" s="12">
        <v>1127</v>
      </c>
      <c r="F145" s="78"/>
      <c r="G145" s="78"/>
      <c r="H145" s="78"/>
    </row>
    <row r="146" spans="1:8" x14ac:dyDescent="0.3">
      <c r="A146" s="11" t="s">
        <v>38</v>
      </c>
      <c r="B146" s="19">
        <f t="shared" si="4"/>
        <v>1864</v>
      </c>
      <c r="C146" s="6">
        <v>468</v>
      </c>
      <c r="D146" s="6">
        <v>210</v>
      </c>
      <c r="E146" s="12">
        <v>1186</v>
      </c>
      <c r="F146" s="78"/>
      <c r="G146" s="78"/>
      <c r="H146" s="78"/>
    </row>
    <row r="147" spans="1:8" x14ac:dyDescent="0.3">
      <c r="A147" s="11" t="s">
        <v>39</v>
      </c>
      <c r="B147" s="19">
        <f t="shared" si="4"/>
        <v>1937</v>
      </c>
      <c r="C147" s="6">
        <v>487</v>
      </c>
      <c r="D147" s="6">
        <v>218</v>
      </c>
      <c r="E147" s="12">
        <v>1232</v>
      </c>
      <c r="F147" s="78"/>
      <c r="G147" s="78"/>
      <c r="H147" s="78"/>
    </row>
    <row r="148" spans="1:8" x14ac:dyDescent="0.3">
      <c r="A148" s="86" t="s">
        <v>40</v>
      </c>
      <c r="B148" s="87">
        <f t="shared" si="4"/>
        <v>2010</v>
      </c>
      <c r="C148" s="88">
        <v>505</v>
      </c>
      <c r="D148" s="88">
        <v>226</v>
      </c>
      <c r="E148" s="90">
        <v>1279</v>
      </c>
      <c r="F148" s="78"/>
      <c r="G148" s="78"/>
      <c r="H148" s="78"/>
    </row>
    <row r="149" spans="1:8" x14ac:dyDescent="0.3">
      <c r="A149" s="11" t="s">
        <v>41</v>
      </c>
      <c r="B149" s="19">
        <f t="shared" si="4"/>
        <v>2078</v>
      </c>
      <c r="C149" s="6">
        <v>522</v>
      </c>
      <c r="D149" s="6">
        <v>234</v>
      </c>
      <c r="E149" s="12">
        <v>1322</v>
      </c>
      <c r="F149" s="78"/>
      <c r="G149" s="78"/>
      <c r="H149" s="78"/>
    </row>
    <row r="150" spans="1:8" x14ac:dyDescent="0.3">
      <c r="A150" s="11" t="s">
        <v>42</v>
      </c>
      <c r="B150" s="19">
        <f t="shared" si="4"/>
        <v>2146</v>
      </c>
      <c r="C150" s="6">
        <v>539</v>
      </c>
      <c r="D150" s="6">
        <v>242</v>
      </c>
      <c r="E150" s="12">
        <v>1365</v>
      </c>
      <c r="F150" s="78"/>
      <c r="G150" s="78"/>
      <c r="H150" s="78"/>
    </row>
    <row r="151" spans="1:8" x14ac:dyDescent="0.3">
      <c r="A151" s="11" t="s">
        <v>43</v>
      </c>
      <c r="B151" s="19">
        <f t="shared" si="4"/>
        <v>2201</v>
      </c>
      <c r="C151" s="6">
        <v>553</v>
      </c>
      <c r="D151" s="6">
        <v>248</v>
      </c>
      <c r="E151" s="12">
        <v>1400</v>
      </c>
      <c r="F151" s="78"/>
      <c r="G151" s="78"/>
      <c r="H151" s="78"/>
    </row>
    <row r="152" spans="1:8" ht="15" thickBot="1" x14ac:dyDescent="0.35">
      <c r="A152" s="13" t="s">
        <v>44</v>
      </c>
      <c r="B152" s="21">
        <f>SUM(C152:E152)</f>
        <v>2256</v>
      </c>
      <c r="C152" s="14">
        <v>567</v>
      </c>
      <c r="D152" s="14">
        <v>254</v>
      </c>
      <c r="E152" s="15">
        <v>1435</v>
      </c>
      <c r="F152" s="78"/>
      <c r="G152" s="78"/>
      <c r="H152" s="78"/>
    </row>
    <row r="153" spans="1:8" ht="15" thickBot="1" x14ac:dyDescent="0.35"/>
    <row r="154" spans="1:8" ht="16.2" thickBot="1" x14ac:dyDescent="0.35">
      <c r="A154" s="79" t="s">
        <v>49</v>
      </c>
      <c r="B154" s="80"/>
      <c r="C154" s="80"/>
      <c r="D154" s="80"/>
      <c r="E154" s="81"/>
      <c r="F154" s="82"/>
      <c r="G154" s="82"/>
      <c r="H154" s="82"/>
    </row>
    <row r="155" spans="1:8" s="4" customFormat="1" ht="28.8" x14ac:dyDescent="0.3">
      <c r="A155" s="7" t="s">
        <v>26</v>
      </c>
      <c r="B155" s="20" t="s">
        <v>16</v>
      </c>
      <c r="C155" s="8" t="s">
        <v>27</v>
      </c>
      <c r="D155" s="9" t="s">
        <v>133</v>
      </c>
      <c r="E155" s="10" t="s">
        <v>135</v>
      </c>
      <c r="F155" s="77"/>
      <c r="G155" s="77"/>
    </row>
    <row r="156" spans="1:8" x14ac:dyDescent="0.3">
      <c r="A156" s="11" t="s">
        <v>30</v>
      </c>
      <c r="B156" s="19">
        <f>SUM(C156:E156)</f>
        <v>528</v>
      </c>
      <c r="C156" s="6">
        <v>171</v>
      </c>
      <c r="D156" s="6">
        <v>77</v>
      </c>
      <c r="E156" s="12">
        <v>280</v>
      </c>
      <c r="F156" s="78"/>
      <c r="G156" s="78"/>
      <c r="H156" s="78"/>
    </row>
    <row r="157" spans="1:8" x14ac:dyDescent="0.3">
      <c r="A157" s="11" t="s">
        <v>31</v>
      </c>
      <c r="B157" s="19">
        <f t="shared" ref="B157:B168" si="5">SUM(C157:E157)</f>
        <v>728</v>
      </c>
      <c r="C157" s="6">
        <v>236</v>
      </c>
      <c r="D157" s="6">
        <v>106</v>
      </c>
      <c r="E157" s="12">
        <v>386</v>
      </c>
      <c r="F157" s="78"/>
      <c r="G157" s="78"/>
      <c r="H157" s="78"/>
    </row>
    <row r="158" spans="1:8" x14ac:dyDescent="0.3">
      <c r="A158" s="11" t="s">
        <v>32</v>
      </c>
      <c r="B158" s="19">
        <f t="shared" si="5"/>
        <v>883</v>
      </c>
      <c r="C158" s="6">
        <v>286</v>
      </c>
      <c r="D158" s="6">
        <v>128</v>
      </c>
      <c r="E158" s="12">
        <v>469</v>
      </c>
      <c r="F158" s="78"/>
      <c r="G158" s="78"/>
      <c r="H158" s="78"/>
    </row>
    <row r="159" spans="1:8" x14ac:dyDescent="0.3">
      <c r="A159" s="11" t="s">
        <v>33</v>
      </c>
      <c r="B159" s="19">
        <f t="shared" si="5"/>
        <v>1016</v>
      </c>
      <c r="C159" s="6">
        <v>330</v>
      </c>
      <c r="D159" s="6">
        <v>147</v>
      </c>
      <c r="E159" s="12">
        <v>539</v>
      </c>
      <c r="F159" s="78"/>
      <c r="G159" s="78"/>
      <c r="H159" s="78"/>
    </row>
    <row r="160" spans="1:8" x14ac:dyDescent="0.3">
      <c r="A160" s="11" t="s">
        <v>34</v>
      </c>
      <c r="B160" s="19">
        <f t="shared" si="5"/>
        <v>1121</v>
      </c>
      <c r="C160" s="6">
        <v>363</v>
      </c>
      <c r="D160" s="6">
        <v>163</v>
      </c>
      <c r="E160" s="12">
        <v>595</v>
      </c>
      <c r="F160" s="78"/>
      <c r="G160" s="78"/>
      <c r="H160" s="78"/>
    </row>
    <row r="161" spans="1:8" x14ac:dyDescent="0.3">
      <c r="A161" s="11" t="s">
        <v>35</v>
      </c>
      <c r="B161" s="19">
        <f t="shared" si="5"/>
        <v>1216</v>
      </c>
      <c r="C161" s="6">
        <v>394</v>
      </c>
      <c r="D161" s="6">
        <v>177</v>
      </c>
      <c r="E161" s="12">
        <v>645</v>
      </c>
      <c r="F161" s="78"/>
      <c r="G161" s="78"/>
      <c r="H161" s="78"/>
    </row>
    <row r="162" spans="1:8" x14ac:dyDescent="0.3">
      <c r="A162" s="11" t="s">
        <v>36</v>
      </c>
      <c r="B162" s="19">
        <f t="shared" si="5"/>
        <v>1301</v>
      </c>
      <c r="C162" s="6">
        <v>422</v>
      </c>
      <c r="D162" s="6">
        <v>189</v>
      </c>
      <c r="E162" s="12">
        <v>690</v>
      </c>
      <c r="F162" s="78"/>
      <c r="G162" s="78"/>
      <c r="H162" s="78"/>
    </row>
    <row r="163" spans="1:8" x14ac:dyDescent="0.3">
      <c r="A163" s="11" t="s">
        <v>37</v>
      </c>
      <c r="B163" s="19">
        <f t="shared" si="5"/>
        <v>1372</v>
      </c>
      <c r="C163" s="6">
        <v>445</v>
      </c>
      <c r="D163" s="6">
        <v>199</v>
      </c>
      <c r="E163" s="12">
        <v>728</v>
      </c>
      <c r="F163" s="78"/>
      <c r="G163" s="78"/>
      <c r="H163" s="78"/>
    </row>
    <row r="164" spans="1:8" x14ac:dyDescent="0.3">
      <c r="A164" s="11" t="s">
        <v>38</v>
      </c>
      <c r="B164" s="19">
        <f t="shared" si="5"/>
        <v>1444</v>
      </c>
      <c r="C164" s="6">
        <v>468</v>
      </c>
      <c r="D164" s="6">
        <v>210</v>
      </c>
      <c r="E164" s="12">
        <v>766</v>
      </c>
      <c r="F164" s="78"/>
      <c r="G164" s="78"/>
      <c r="H164" s="78"/>
    </row>
    <row r="165" spans="1:8" x14ac:dyDescent="0.3">
      <c r="A165" s="11" t="s">
        <v>39</v>
      </c>
      <c r="B165" s="19">
        <f t="shared" si="5"/>
        <v>1501</v>
      </c>
      <c r="C165" s="6">
        <v>487</v>
      </c>
      <c r="D165" s="6">
        <v>218</v>
      </c>
      <c r="E165" s="12">
        <v>796</v>
      </c>
      <c r="F165" s="78"/>
      <c r="G165" s="78"/>
      <c r="H165" s="78"/>
    </row>
    <row r="166" spans="1:8" x14ac:dyDescent="0.3">
      <c r="A166" s="11" t="s">
        <v>40</v>
      </c>
      <c r="B166" s="19">
        <f t="shared" si="5"/>
        <v>1558</v>
      </c>
      <c r="C166" s="6">
        <v>505</v>
      </c>
      <c r="D166" s="6">
        <v>226</v>
      </c>
      <c r="E166" s="12">
        <v>827</v>
      </c>
      <c r="F166" s="78"/>
      <c r="G166" s="78"/>
      <c r="H166" s="78"/>
    </row>
    <row r="167" spans="1:8" x14ac:dyDescent="0.3">
      <c r="A167" s="11" t="s">
        <v>41</v>
      </c>
      <c r="B167" s="19">
        <f t="shared" si="5"/>
        <v>1610</v>
      </c>
      <c r="C167" s="6">
        <v>522</v>
      </c>
      <c r="D167" s="6">
        <v>234</v>
      </c>
      <c r="E167" s="12">
        <v>854</v>
      </c>
      <c r="F167" s="78"/>
      <c r="G167" s="78"/>
      <c r="H167" s="78"/>
    </row>
    <row r="168" spans="1:8" x14ac:dyDescent="0.3">
      <c r="A168" s="11" t="s">
        <v>42</v>
      </c>
      <c r="B168" s="19">
        <f t="shared" si="5"/>
        <v>1663</v>
      </c>
      <c r="C168" s="6">
        <v>539</v>
      </c>
      <c r="D168" s="6">
        <v>242</v>
      </c>
      <c r="E168" s="12">
        <v>882</v>
      </c>
      <c r="F168" s="78"/>
      <c r="G168" s="78"/>
      <c r="H168" s="78"/>
    </row>
    <row r="169" spans="1:8" x14ac:dyDescent="0.3">
      <c r="A169" s="11" t="s">
        <v>43</v>
      </c>
      <c r="B169" s="19">
        <f>SUM(C169:E169)</f>
        <v>1706</v>
      </c>
      <c r="C169" s="6">
        <v>553</v>
      </c>
      <c r="D169" s="6">
        <v>248</v>
      </c>
      <c r="E169" s="12">
        <v>905</v>
      </c>
      <c r="F169" s="78"/>
      <c r="G169" s="78"/>
      <c r="H169" s="78"/>
    </row>
    <row r="170" spans="1:8" ht="15" thickBot="1" x14ac:dyDescent="0.35">
      <c r="A170" s="13" t="s">
        <v>44</v>
      </c>
      <c r="B170" s="21">
        <f>SUM(C170:E170)</f>
        <v>1748</v>
      </c>
      <c r="C170" s="14">
        <v>567</v>
      </c>
      <c r="D170" s="14">
        <v>254</v>
      </c>
      <c r="E170" s="15">
        <v>927</v>
      </c>
      <c r="F170" s="78"/>
      <c r="G170" s="78"/>
      <c r="H170" s="78"/>
    </row>
  </sheetData>
  <sheetProtection algorithmName="SHA-512" hashValue="7ozETEgwlnu6fxynTzFnaekR+ndV8NS7iCeCoBgFJgdPIEWmU3+qAvnxPQChPYT8Fzfos/WUHL9otmgoWiQrMA==" saltValue="fPaQ30mZOupawjgajupbQg==" spinCount="100000" sheet="1" objects="1" scenarios="1"/>
  <mergeCells count="18">
    <mergeCell ref="B20:K22"/>
    <mergeCell ref="B23:K24"/>
    <mergeCell ref="B25:K26"/>
    <mergeCell ref="B27:K28"/>
    <mergeCell ref="A16:A17"/>
    <mergeCell ref="A13:K14"/>
    <mergeCell ref="A15:K15"/>
    <mergeCell ref="B16:K19"/>
    <mergeCell ref="H1:K6"/>
    <mergeCell ref="A11:K12"/>
    <mergeCell ref="A8:K10"/>
    <mergeCell ref="A118:F118"/>
    <mergeCell ref="A136:E136"/>
    <mergeCell ref="A37:D37"/>
    <mergeCell ref="A81:E81"/>
    <mergeCell ref="A63:E63"/>
    <mergeCell ref="A44:E44"/>
    <mergeCell ref="A99:E99"/>
  </mergeCells>
  <pageMargins left="0.7" right="0.7" top="0.75" bottom="0.75" header="0.3" footer="0.3"/>
  <pageSetup orientation="landscape" r:id="rId1"/>
  <headerFooter>
    <oddFooter>&amp;L&amp;"Avenir Next LT Pro,Regular"&amp;10Planning, Development and Sustainability
406.258.4642 | pds@missoulacounty.us&amp;R&amp;"Avenir Next LT Pro,Regular"&amp;10IMPACT FEE SCHEDULE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54A1C-E39E-452F-8986-EE50F1C7826D}">
  <sheetPr>
    <pageSetUpPr autoPageBreaks="0" fitToPage="1"/>
  </sheetPr>
  <dimension ref="A1:I35"/>
  <sheetViews>
    <sheetView showGridLines="0" tabSelected="1" view="pageBreakPreview" topLeftCell="A13" zoomScale="60" zoomScaleNormal="75" workbookViewId="0">
      <selection activeCell="C23" sqref="C23"/>
    </sheetView>
  </sheetViews>
  <sheetFormatPr defaultRowHeight="14.4" x14ac:dyDescent="0.3"/>
  <cols>
    <col min="1" max="1" width="20.5546875" customWidth="1"/>
    <col min="2" max="2" width="18.88671875" customWidth="1"/>
    <col min="3" max="3" width="20.6640625" customWidth="1"/>
    <col min="4" max="4" width="15.33203125" customWidth="1"/>
    <col min="5" max="5" width="31.6640625" style="1" customWidth="1"/>
    <col min="6" max="6" width="38.6640625" customWidth="1"/>
  </cols>
  <sheetData>
    <row r="1" spans="1:9" ht="15" customHeight="1" x14ac:dyDescent="0.3">
      <c r="A1" s="38"/>
      <c r="B1" s="39"/>
      <c r="C1" s="39"/>
      <c r="D1" s="39"/>
      <c r="E1" s="133" t="s">
        <v>127</v>
      </c>
      <c r="F1" s="134"/>
      <c r="G1" s="69"/>
      <c r="H1" s="69"/>
      <c r="I1" s="69"/>
    </row>
    <row r="2" spans="1:9" ht="15" customHeight="1" x14ac:dyDescent="0.3">
      <c r="A2" s="47"/>
      <c r="B2" s="33"/>
      <c r="C2" s="33"/>
      <c r="D2" s="67"/>
      <c r="E2" s="135"/>
      <c r="F2" s="136"/>
      <c r="G2" s="69"/>
      <c r="H2" s="69"/>
      <c r="I2" s="69"/>
    </row>
    <row r="3" spans="1:9" ht="15" customHeight="1" x14ac:dyDescent="0.3">
      <c r="A3" s="40"/>
      <c r="B3" s="33"/>
      <c r="C3" s="33"/>
      <c r="D3" s="67"/>
      <c r="E3" s="135"/>
      <c r="F3" s="136"/>
      <c r="G3" s="69"/>
      <c r="H3" s="69"/>
      <c r="I3" s="69"/>
    </row>
    <row r="4" spans="1:9" ht="15" customHeight="1" x14ac:dyDescent="0.3">
      <c r="A4" s="41"/>
      <c r="B4" s="33"/>
      <c r="C4" s="33"/>
      <c r="D4" s="67"/>
      <c r="E4" s="137" t="s">
        <v>128</v>
      </c>
      <c r="F4" s="138"/>
      <c r="G4" s="70"/>
      <c r="H4" s="70"/>
      <c r="I4" s="70"/>
    </row>
    <row r="5" spans="1:9" x14ac:dyDescent="0.3">
      <c r="A5" s="47"/>
      <c r="B5" s="33"/>
      <c r="C5" s="33"/>
      <c r="D5" s="67"/>
      <c r="E5" s="137"/>
      <c r="F5" s="138"/>
      <c r="G5" s="70"/>
      <c r="H5" s="70"/>
      <c r="I5" s="70"/>
    </row>
    <row r="6" spans="1:9" ht="15.75" customHeight="1" x14ac:dyDescent="0.3">
      <c r="A6" s="40"/>
      <c r="B6" s="33"/>
      <c r="C6" s="33"/>
      <c r="D6" s="68"/>
      <c r="E6" s="137"/>
      <c r="F6" s="138"/>
      <c r="G6" s="70"/>
      <c r="H6" s="70"/>
      <c r="I6" s="70"/>
    </row>
    <row r="7" spans="1:9" ht="34.5" customHeight="1" thickBot="1" x14ac:dyDescent="0.35">
      <c r="A7" s="50"/>
      <c r="B7" s="51"/>
      <c r="C7" s="52"/>
      <c r="D7" s="42"/>
      <c r="E7" s="139"/>
      <c r="F7" s="140"/>
      <c r="G7" s="70"/>
      <c r="H7" s="70"/>
      <c r="I7" s="70"/>
    </row>
    <row r="8" spans="1:9" ht="15" thickBot="1" x14ac:dyDescent="0.35">
      <c r="A8" s="33"/>
      <c r="B8" s="37"/>
      <c r="C8" s="48"/>
      <c r="D8" s="33"/>
      <c r="E8" s="49"/>
      <c r="F8" s="49"/>
      <c r="G8" s="49"/>
      <c r="H8" s="49"/>
      <c r="I8" s="49"/>
    </row>
    <row r="9" spans="1:9" ht="30.75" customHeight="1" x14ac:dyDescent="0.45">
      <c r="A9" s="158" t="s">
        <v>129</v>
      </c>
      <c r="B9" s="159"/>
      <c r="C9" s="159"/>
      <c r="D9" s="159"/>
      <c r="E9" s="159"/>
      <c r="F9" s="160"/>
      <c r="G9" s="66"/>
      <c r="H9" s="66"/>
      <c r="I9" s="66"/>
    </row>
    <row r="10" spans="1:9" ht="30.75" customHeight="1" thickBot="1" x14ac:dyDescent="0.5">
      <c r="A10" s="161" t="s">
        <v>121</v>
      </c>
      <c r="B10" s="162"/>
      <c r="C10" s="162"/>
      <c r="D10" s="162"/>
      <c r="E10" s="162"/>
      <c r="F10" s="163"/>
      <c r="G10" s="66"/>
      <c r="H10" s="66"/>
      <c r="I10" s="66"/>
    </row>
    <row r="11" spans="1:9" ht="22.5" customHeight="1" thickBot="1" x14ac:dyDescent="0.35">
      <c r="A11" s="33"/>
      <c r="B11" s="33"/>
      <c r="C11" s="33"/>
      <c r="D11" s="33"/>
      <c r="E11" s="34"/>
      <c r="F11" s="35"/>
    </row>
    <row r="12" spans="1:9" ht="18.75" customHeight="1" x14ac:dyDescent="0.3">
      <c r="A12" s="148" t="s">
        <v>113</v>
      </c>
      <c r="B12" s="149"/>
      <c r="C12" s="150"/>
      <c r="D12" s="36"/>
      <c r="E12" s="154" t="s">
        <v>117</v>
      </c>
      <c r="F12" s="155"/>
    </row>
    <row r="13" spans="1:9" ht="14.25" customHeight="1" thickBot="1" x14ac:dyDescent="0.35">
      <c r="A13" s="151"/>
      <c r="B13" s="152"/>
      <c r="C13" s="153"/>
      <c r="D13" s="33"/>
      <c r="E13" s="156"/>
      <c r="F13" s="157"/>
    </row>
    <row r="14" spans="1:9" ht="41.25" customHeight="1" thickBot="1" x14ac:dyDescent="0.45">
      <c r="A14" s="145" t="s">
        <v>114</v>
      </c>
      <c r="B14" s="146"/>
      <c r="C14" s="147"/>
      <c r="D14" s="33"/>
      <c r="E14" s="141" t="s">
        <v>126</v>
      </c>
      <c r="F14" s="142"/>
    </row>
    <row r="15" spans="1:9" ht="57.75" customHeight="1" thickBot="1" x14ac:dyDescent="0.35">
      <c r="A15" s="172" t="s">
        <v>50</v>
      </c>
      <c r="B15" s="173"/>
      <c r="C15" s="55"/>
      <c r="D15" s="33"/>
      <c r="E15" s="75" t="s">
        <v>123</v>
      </c>
      <c r="F15" s="63">
        <f>Math!E25</f>
        <v>0</v>
      </c>
      <c r="G15" s="43"/>
    </row>
    <row r="16" spans="1:9" ht="30" customHeight="1" thickBot="1" x14ac:dyDescent="0.35">
      <c r="A16" s="172" t="s">
        <v>52</v>
      </c>
      <c r="B16" s="173"/>
      <c r="C16" s="54"/>
      <c r="D16" s="33"/>
      <c r="E16" s="57"/>
      <c r="F16" s="61"/>
    </row>
    <row r="17" spans="1:6" ht="51" customHeight="1" thickBot="1" x14ac:dyDescent="0.35">
      <c r="A17" s="151" t="s">
        <v>115</v>
      </c>
      <c r="B17" s="152"/>
      <c r="C17" s="153"/>
      <c r="D17" s="33"/>
      <c r="E17" s="75" t="s">
        <v>122</v>
      </c>
      <c r="F17" s="63">
        <f>Math!F25</f>
        <v>0</v>
      </c>
    </row>
    <row r="18" spans="1:6" ht="36.75" customHeight="1" thickBot="1" x14ac:dyDescent="0.35">
      <c r="A18" s="179" t="s">
        <v>116</v>
      </c>
      <c r="B18" s="180"/>
      <c r="C18" s="181"/>
      <c r="D18" s="33"/>
      <c r="E18" s="57"/>
      <c r="F18" s="61"/>
    </row>
    <row r="19" spans="1:6" ht="46.5" customHeight="1" thickBot="1" x14ac:dyDescent="0.35">
      <c r="A19" s="182" t="s">
        <v>119</v>
      </c>
      <c r="B19" s="183"/>
      <c r="C19" s="72" t="s">
        <v>54</v>
      </c>
      <c r="D19" s="33"/>
      <c r="E19" s="75" t="s">
        <v>124</v>
      </c>
      <c r="F19" s="63">
        <f>Math!G25</f>
        <v>0</v>
      </c>
    </row>
    <row r="20" spans="1:6" ht="47.25" customHeight="1" thickBot="1" x14ac:dyDescent="0.35">
      <c r="A20" s="184" t="s">
        <v>55</v>
      </c>
      <c r="B20" s="185"/>
      <c r="C20" s="53"/>
      <c r="D20" s="33"/>
      <c r="E20" s="57"/>
      <c r="F20" s="61"/>
    </row>
    <row r="21" spans="1:6" ht="44.25" customHeight="1" thickBot="1" x14ac:dyDescent="0.35">
      <c r="A21" s="176" t="s">
        <v>120</v>
      </c>
      <c r="B21" s="177"/>
      <c r="C21" s="178"/>
      <c r="D21" s="33"/>
      <c r="E21" s="122" t="s">
        <v>141</v>
      </c>
      <c r="F21" s="63">
        <f>Math!H25</f>
        <v>0</v>
      </c>
    </row>
    <row r="22" spans="1:6" ht="37.5" customHeight="1" thickBot="1" x14ac:dyDescent="0.35">
      <c r="A22" s="186" t="s">
        <v>56</v>
      </c>
      <c r="B22" s="187"/>
      <c r="C22" s="65"/>
      <c r="D22" s="33"/>
      <c r="E22" s="58"/>
      <c r="F22" s="59"/>
    </row>
    <row r="23" spans="1:6" ht="42.75" customHeight="1" thickBot="1" x14ac:dyDescent="0.35">
      <c r="A23" s="143" t="s">
        <v>118</v>
      </c>
      <c r="B23" s="144"/>
      <c r="C23" s="188" t="s">
        <v>54</v>
      </c>
      <c r="D23" s="33"/>
      <c r="E23" s="169" t="s">
        <v>130</v>
      </c>
      <c r="F23" s="63">
        <f>IF($C$16="YES", (SUM(F15,F17,F19,F21)*0.032), 0)</f>
        <v>0</v>
      </c>
    </row>
    <row r="24" spans="1:6" ht="49.5" customHeight="1" thickBot="1" x14ac:dyDescent="0.4">
      <c r="A24" s="170" t="s">
        <v>11</v>
      </c>
      <c r="B24" s="73" t="s">
        <v>58</v>
      </c>
      <c r="C24" s="71"/>
      <c r="D24" s="33"/>
      <c r="E24" s="169"/>
      <c r="F24" s="64"/>
    </row>
    <row r="25" spans="1:6" ht="40.5" customHeight="1" thickBot="1" x14ac:dyDescent="0.4">
      <c r="A25" s="171"/>
      <c r="B25" s="74" t="s">
        <v>59</v>
      </c>
      <c r="C25" s="56"/>
      <c r="D25" s="33"/>
      <c r="E25" s="62"/>
      <c r="F25" s="60"/>
    </row>
    <row r="26" spans="1:6" ht="36.6" thickBot="1" x14ac:dyDescent="0.4">
      <c r="A26" s="170" t="s">
        <v>5</v>
      </c>
      <c r="B26" s="73" t="s">
        <v>58</v>
      </c>
      <c r="C26" s="56"/>
      <c r="D26" s="33"/>
      <c r="E26" s="164" t="s">
        <v>125</v>
      </c>
      <c r="F26" s="166">
        <f>SUM(,F15,F17,F19,F21,F23)</f>
        <v>0</v>
      </c>
    </row>
    <row r="27" spans="1:6" ht="48" customHeight="1" thickBot="1" x14ac:dyDescent="0.4">
      <c r="A27" s="171"/>
      <c r="B27" s="74" t="s">
        <v>59</v>
      </c>
      <c r="C27" s="56"/>
      <c r="D27" s="33"/>
      <c r="E27" s="164"/>
      <c r="F27" s="167"/>
    </row>
    <row r="28" spans="1:6" ht="36.6" thickBot="1" x14ac:dyDescent="0.4">
      <c r="A28" s="170" t="s">
        <v>7</v>
      </c>
      <c r="B28" s="73" t="s">
        <v>58</v>
      </c>
      <c r="C28" s="56"/>
      <c r="E28" s="165"/>
      <c r="F28" s="168"/>
    </row>
    <row r="29" spans="1:6" ht="39.75" customHeight="1" thickBot="1" x14ac:dyDescent="0.4">
      <c r="A29" s="171"/>
      <c r="B29" s="74" t="s">
        <v>59</v>
      </c>
      <c r="C29" s="56"/>
    </row>
    <row r="30" spans="1:6" ht="36.6" thickBot="1" x14ac:dyDescent="0.4">
      <c r="A30" s="174" t="s">
        <v>60</v>
      </c>
      <c r="B30" s="73" t="s">
        <v>58</v>
      </c>
      <c r="C30" s="56"/>
    </row>
    <row r="31" spans="1:6" ht="44.25" customHeight="1" thickBot="1" x14ac:dyDescent="0.4">
      <c r="A31" s="175"/>
      <c r="B31" s="74" t="s">
        <v>59</v>
      </c>
      <c r="C31" s="56"/>
    </row>
    <row r="32" spans="1:6" ht="38.25" customHeight="1" thickBot="1" x14ac:dyDescent="0.4">
      <c r="A32" s="170" t="s">
        <v>9</v>
      </c>
      <c r="B32" s="73" t="s">
        <v>58</v>
      </c>
      <c r="C32" s="56"/>
    </row>
    <row r="33" spans="1:3" ht="36.6" thickBot="1" x14ac:dyDescent="0.4">
      <c r="A33" s="171"/>
      <c r="B33" s="74" t="s">
        <v>59</v>
      </c>
      <c r="C33" s="56"/>
    </row>
    <row r="35" spans="1:3" x14ac:dyDescent="0.3">
      <c r="A35" s="29"/>
    </row>
  </sheetData>
  <sheetProtection algorithmName="SHA-512" hashValue="gNW0QlF5LcXZQWkvEklOuKfMsRRTso1Mdw5j4PzpTCUsa4PdU6JiGhAymO82WNV+LqtLcR6fxme1vnihFn7MLA==" saltValue="HIKEtN/km9vPnHMSMkES7A==" spinCount="100000" sheet="1" selectLockedCells="1"/>
  <mergeCells count="25">
    <mergeCell ref="E26:E28"/>
    <mergeCell ref="F26:F28"/>
    <mergeCell ref="E23:E24"/>
    <mergeCell ref="A32:A33"/>
    <mergeCell ref="A15:B15"/>
    <mergeCell ref="A16:B16"/>
    <mergeCell ref="A30:A31"/>
    <mergeCell ref="A17:C17"/>
    <mergeCell ref="A21:C21"/>
    <mergeCell ref="A18:C18"/>
    <mergeCell ref="A24:A25"/>
    <mergeCell ref="A26:A27"/>
    <mergeCell ref="A19:B19"/>
    <mergeCell ref="A20:B20"/>
    <mergeCell ref="A22:B22"/>
    <mergeCell ref="A28:A29"/>
    <mergeCell ref="E1:F3"/>
    <mergeCell ref="E4:F7"/>
    <mergeCell ref="E14:F14"/>
    <mergeCell ref="A23:B23"/>
    <mergeCell ref="A14:C14"/>
    <mergeCell ref="A12:C13"/>
    <mergeCell ref="E12:F13"/>
    <mergeCell ref="A9:F9"/>
    <mergeCell ref="A10:F10"/>
  </mergeCells>
  <conditionalFormatting sqref="C22 C24:C25">
    <cfRule type="expression" dxfId="4" priority="1">
      <formula>OR(Category="Residential", Category="Mixed")</formula>
    </cfRule>
  </conditionalFormatting>
  <conditionalFormatting sqref="C26:C27">
    <cfRule type="expression" dxfId="3" priority="5">
      <formula>OR(Category="Industrial", Category="Mixed")</formula>
    </cfRule>
  </conditionalFormatting>
  <conditionalFormatting sqref="C28:C29">
    <cfRule type="expression" dxfId="2" priority="4">
      <formula>OR(Category="INSTITUTIONAL", Category="MIXED")</formula>
    </cfRule>
  </conditionalFormatting>
  <conditionalFormatting sqref="C30:C31">
    <cfRule type="expression" dxfId="1" priority="3">
      <formula>OR(Category="RETAIL/COMMERCIAL", Category="MIXED")</formula>
    </cfRule>
  </conditionalFormatting>
  <conditionalFormatting sqref="C32:C33">
    <cfRule type="expression" dxfId="0" priority="2">
      <formula>OR(Category="OFFICE", Category="MIXED")</formula>
    </cfRule>
  </conditionalFormatting>
  <dataValidations xWindow="379" yWindow="670" count="5">
    <dataValidation type="whole" operator="greaterThanOrEqual" allowBlank="1" showInputMessage="1" showErrorMessage="1" prompt="Enter proposed interior square footage per residential unit. This is the proposed living space area that is measured from the inside of the exterior walls and does not include garages or decks." sqref="C24" xr:uid="{39F3F8D3-8780-4CB9-9437-D441B241392E}">
      <formula1>0</formula1>
    </dataValidation>
    <dataValidation type="whole" operator="greaterThanOrEqual" allowBlank="1" showInputMessage="1" showErrorMessage="1" prompt="Enter existing interior square footage if the project is a residential addition. Otherwise, enter zero (0). This is the living space area that is measured from the inside of the exterior walls  and does not include garages or decks." sqref="C25" xr:uid="{07CD5A72-B190-4580-9E1C-82D1497AC32F}">
      <formula1>0</formula1>
    </dataValidation>
    <dataValidation type="whole" operator="greaterThanOrEqual" allowBlank="1" showInputMessage="1" showErrorMessage="1" prompt="Enter existing interior square footage. Otherwise, enter zero (0)." sqref="C33 C31 C29" xr:uid="{0A4B324F-A9A8-4BE3-B946-F85A93254136}">
      <formula1>0</formula1>
    </dataValidation>
    <dataValidation type="whole" operator="greaterThanOrEqual" allowBlank="1" showInputMessage="1" showErrorMessage="1" prompt="Enter the proposed interior square footage." sqref="C32 C26 C28 C30" xr:uid="{D9E590DE-1C46-4F5B-8ACF-154C211887E4}">
      <formula1>0</formula1>
    </dataValidation>
    <dataValidation type="whole" operator="greaterThanOrEqual" allowBlank="1" showInputMessage="1" showErrorMessage="1" prompt="Enter existing interior square footage per residential unit. Otherwise, enter zero (0)." sqref="C27" xr:uid="{149CE2A4-53EB-4E27-A4E0-C599D7687C13}">
      <formula1>0</formula1>
    </dataValidation>
  </dataValidations>
  <hyperlinks>
    <hyperlink ref="C19" r:id="rId1" xr:uid="{3E7C4334-5E18-4C84-9468-781586C74CED}"/>
    <hyperlink ref="C23" r:id="rId2" xr:uid="{30453869-76EF-493B-B457-3128CF990DBA}"/>
  </hyperlinks>
  <pageMargins left="0.7" right="0.7" top="0.75" bottom="0.75" header="0.3" footer="0.3"/>
  <pageSetup scale="58" orientation="portrait" r:id="rId3"/>
  <headerFooter>
    <oddFooter>&amp;C&amp;9For multifamily residential and residential/non-residential mixed use estimates, 
please contact Planning, Development and Sustainability at 406-258-4657 or pds@missoulacounty.us</oddFooter>
  </headerFooter>
  <rowBreaks count="1" manualBreakCount="1">
    <brk id="42" max="16383" man="1"/>
  </rowBreaks>
  <colBreaks count="1" manualBreakCount="1">
    <brk id="5" max="1048575" man="1"/>
  </colBreaks>
  <drawing r:id="rId4"/>
  <extLst>
    <ext xmlns:x14="http://schemas.microsoft.com/office/spreadsheetml/2009/9/main" uri="{CCE6A557-97BC-4b89-ADB6-D9C93CAAB3DF}">
      <x14:dataValidations xmlns:xm="http://schemas.microsoft.com/office/excel/2006/main" xWindow="379" yWindow="670" count="4">
        <x14:dataValidation type="list" allowBlank="1" showInputMessage="1" showErrorMessage="1" promptTitle="Select One" prompt="Must select one from the drop down list" xr:uid="{DF64F061-B0E1-4A2C-B448-62D8A75417AA}">
          <x14:formula1>
            <xm:f>List!$A$57:$A$62</xm:f>
          </x14:formula1>
          <xm:sqref>C15</xm:sqref>
        </x14:dataValidation>
        <x14:dataValidation type="list" allowBlank="1" showInputMessage="1" showErrorMessage="1" promptTitle="Select One" prompt="Must select one from the drop down list" xr:uid="{A5148E90-ECE3-4836-AFB2-7F5AEB0CA247}">
          <x14:formula1>
            <xm:f>List!$A$65:$A$66</xm:f>
          </x14:formula1>
          <xm:sqref>C16:C17</xm:sqref>
        </x14:dataValidation>
        <x14:dataValidation type="list" allowBlank="1" showInputMessage="1" showErrorMessage="1" promptTitle="Select One" prompt="Must select one from the drop down list" xr:uid="{0B2AC8BE-9AE1-46E1-B5FB-01E5D09E8BFB}">
          <x14:formula1>
            <xm:f>List!$A$69:$A$70</xm:f>
          </x14:formula1>
          <xm:sqref>C20:C21</xm:sqref>
        </x14:dataValidation>
        <x14:dataValidation type="list" allowBlank="1" showInputMessage="1" showErrorMessage="1" promptTitle="Select One - Residential Only" prompt="Must select one from drop down list - for Residential Only" xr:uid="{75A078C7-376F-4A47-928C-01793C21B977}">
          <x14:formula1>
            <xm:f>List!$A$73:$A$77</xm:f>
          </x14:formula1>
          <xm:sqref>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77E82-43FF-4362-AA0E-A8EE6DF5114D}">
  <dimension ref="A1:J25"/>
  <sheetViews>
    <sheetView workbookViewId="0">
      <selection activeCell="B1" sqref="B1:J1"/>
    </sheetView>
  </sheetViews>
  <sheetFormatPr defaultRowHeight="14.4" x14ac:dyDescent="0.3"/>
  <cols>
    <col min="1" max="1" width="30.5546875" customWidth="1"/>
    <col min="2" max="2" width="10.33203125" customWidth="1"/>
    <col min="3" max="3" width="9.109375" style="30"/>
    <col min="4" max="4" width="13.88671875" style="1" customWidth="1"/>
    <col min="5" max="5" width="9.109375" style="1"/>
    <col min="6" max="6" width="13.5546875" style="1" customWidth="1"/>
    <col min="7" max="7" width="13.77734375" style="1" customWidth="1"/>
    <col min="8" max="8" width="13.33203125" style="1" customWidth="1"/>
    <col min="9" max="10" width="9.109375" style="1"/>
  </cols>
  <sheetData>
    <row r="1" spans="1:10" s="23" customFormat="1" ht="43.2" x14ac:dyDescent="0.3">
      <c r="A1" s="104" t="s">
        <v>11</v>
      </c>
      <c r="B1" s="98" t="s">
        <v>61</v>
      </c>
      <c r="C1" s="98" t="s">
        <v>62</v>
      </c>
      <c r="D1" s="98" t="s">
        <v>63</v>
      </c>
      <c r="E1" s="98" t="s">
        <v>17</v>
      </c>
      <c r="F1" s="98" t="s">
        <v>64</v>
      </c>
      <c r="G1" s="98" t="s">
        <v>65</v>
      </c>
      <c r="H1" s="98" t="s">
        <v>28</v>
      </c>
      <c r="I1" s="98" t="s">
        <v>29</v>
      </c>
      <c r="J1" s="98" t="s">
        <v>16</v>
      </c>
    </row>
    <row r="2" spans="1:10" x14ac:dyDescent="0.3">
      <c r="A2" t="s">
        <v>66</v>
      </c>
      <c r="B2">
        <f>SUM(Estimator!C24,Estimator!C25)</f>
        <v>0</v>
      </c>
    </row>
    <row r="3" spans="1:10" ht="28.8" x14ac:dyDescent="0.3">
      <c r="A3" s="23" t="s">
        <v>67</v>
      </c>
      <c r="B3">
        <f>IFERROR(IF(OR(Estimator!$C$15="Residential", Estimator!$C$15="Mixed"), VLOOKUP(B2, List!$A$80:$C$94, 3), 0), 0)</f>
        <v>0</v>
      </c>
      <c r="D3" s="1">
        <f>IFERROR(_xlfn.XLOOKUP($B3, List!$B$8:$B$22, List!C$8:C$22, 0), 0)</f>
        <v>0</v>
      </c>
      <c r="E3" s="1">
        <f>IFERROR(_xlfn.XLOOKUP($B3, List!$B$8:$B$22, List!D$8:D$22, 0), 0)</f>
        <v>0</v>
      </c>
      <c r="F3" s="1">
        <f>IFERROR(_xlfn.XLOOKUP($B3, List!$B$8:$B$22, List!E$8:E$22, 0), 0)</f>
        <v>0</v>
      </c>
      <c r="G3" s="1">
        <f>IFERROR(IF(Estimator!$C$20="Yes", _xlfn.XLOOKUP($B3, List!$B$8:$B$22, List!F$8:F$22, 0), 0), 0)</f>
        <v>0</v>
      </c>
      <c r="H3" s="1">
        <f>IFERROR(INDEX(List!$C$24:$G$38, MATCH(Math!$B3, List!$B$24:$B$38, 0), MATCH(Estimator!$C$22, List!$C$23:$G$23, 0)), 0)</f>
        <v>0</v>
      </c>
      <c r="I3" s="1">
        <f>IFERROR(INDEX(List!$C$40:$G$54, MATCH(Math!$B3, List!$B$40:$B$54, 0), MATCH(Estimator!$C$22, List!$C$39:$G$39, 0)), 0)</f>
        <v>0</v>
      </c>
      <c r="J3" s="1">
        <f>SUM(D3:I3)</f>
        <v>0</v>
      </c>
    </row>
    <row r="4" spans="1:10" ht="28.8" x14ac:dyDescent="0.3">
      <c r="A4" s="23" t="s">
        <v>68</v>
      </c>
      <c r="B4">
        <f>IFERROR(IF(OR(Estimator!$C$15="Residential", Estimator!$C$15="Mixed"), VLOOKUP(Estimator!C25, List!$A$80:$C$94, 3), 0), 0)</f>
        <v>0</v>
      </c>
      <c r="D4" s="1">
        <f>IFERROR(_xlfn.XLOOKUP($B4, List!$B$8:$B$22, List!C$8:C$22, 0), 0)</f>
        <v>0</v>
      </c>
      <c r="E4" s="1">
        <f>IFERROR(_xlfn.XLOOKUP($B4, List!$B$8:$B$22, List!D$8:D$22, 0), 0)</f>
        <v>0</v>
      </c>
      <c r="F4" s="1">
        <f>IFERROR(_xlfn.XLOOKUP($B4, List!$B$8:$B$22, List!E$8:E$22, 0), 0)</f>
        <v>0</v>
      </c>
      <c r="G4" s="1">
        <f>IFERROR(IF(Estimator!$C$20="Yes", _xlfn.XLOOKUP($B4, List!$B$8:$B$22, List!F$8:F$22, 0), 0), 0)</f>
        <v>0</v>
      </c>
      <c r="H4" s="1">
        <f>IFERROR(INDEX(List!$C$24:$G$38, MATCH(Math!$B4, List!$B$24:$B$38, 0), MATCH(Estimator!$C$22, List!$C$23:$G$23, 0)), 0)</f>
        <v>0</v>
      </c>
      <c r="I4" s="1">
        <f>IFERROR(INDEX(List!$C$40:$G$54, MATCH(Math!$B4, List!$B$40:$B$54, 0), MATCH(Estimator!$C$22, List!$C$39:$G$39, 0)), 0)</f>
        <v>0</v>
      </c>
      <c r="J4" s="1">
        <f t="shared" ref="J4:J22" si="0">SUM(D4:I4)</f>
        <v>0</v>
      </c>
    </row>
    <row r="5" spans="1:10" x14ac:dyDescent="0.3">
      <c r="A5" s="23" t="s">
        <v>69</v>
      </c>
      <c r="B5">
        <f>Estimator!C24</f>
        <v>0</v>
      </c>
      <c r="D5" s="1">
        <f>SUM(D3-D4)</f>
        <v>0</v>
      </c>
      <c r="E5" s="1">
        <f t="shared" ref="E5:I5" si="1">SUM(E3-E4)</f>
        <v>0</v>
      </c>
      <c r="F5" s="1">
        <f t="shared" si="1"/>
        <v>0</v>
      </c>
      <c r="G5" s="1">
        <f t="shared" si="1"/>
        <v>0</v>
      </c>
      <c r="H5" s="1">
        <f t="shared" si="1"/>
        <v>0</v>
      </c>
      <c r="I5" s="1">
        <f t="shared" si="1"/>
        <v>0</v>
      </c>
      <c r="J5" s="1">
        <f t="shared" si="0"/>
        <v>0</v>
      </c>
    </row>
    <row r="6" spans="1:10" x14ac:dyDescent="0.3">
      <c r="A6" s="29" t="s">
        <v>5</v>
      </c>
      <c r="J6" s="1">
        <f t="shared" si="0"/>
        <v>0</v>
      </c>
    </row>
    <row r="7" spans="1:10" x14ac:dyDescent="0.3">
      <c r="A7" t="s">
        <v>66</v>
      </c>
      <c r="B7">
        <f>SUM(B8,B9)</f>
        <v>0</v>
      </c>
      <c r="C7" s="30">
        <f>IFERROR(B8/$B$23, 0)</f>
        <v>0</v>
      </c>
      <c r="D7" s="1">
        <f>D8*$C$7</f>
        <v>0</v>
      </c>
      <c r="E7" s="1">
        <f t="shared" ref="E7:G7" si="2">E8*$C$7</f>
        <v>0</v>
      </c>
      <c r="F7" s="1">
        <f t="shared" si="2"/>
        <v>0</v>
      </c>
      <c r="G7" s="1">
        <f t="shared" si="2"/>
        <v>0</v>
      </c>
      <c r="J7" s="1">
        <f t="shared" si="0"/>
        <v>0</v>
      </c>
    </row>
    <row r="8" spans="1:10" x14ac:dyDescent="0.3">
      <c r="A8" t="s">
        <v>70</v>
      </c>
      <c r="B8">
        <f>IF(OR(Estimator!$C$15="Industrial", Estimator!$C$15="Mixed",), Estimator!C26, 0)</f>
        <v>0</v>
      </c>
      <c r="C8" s="30">
        <f>IFERROR(B8/B7, 0)</f>
        <v>0</v>
      </c>
      <c r="D8" s="1">
        <f>IFERROR(_xlfn.XLOOKUP(Math!$A$6, List!$A$3:$A$6, List!C$3:C$6, 0)*$C$8, 0)</f>
        <v>0</v>
      </c>
      <c r="E8" s="1">
        <f>IFERROR(_xlfn.XLOOKUP(Math!$A$6, List!$A$3:$A$6, List!D$3:D$6, 0)*$C$8, 0)</f>
        <v>0</v>
      </c>
      <c r="F8" s="1">
        <f>IFERROR(_xlfn.XLOOKUP(Math!$A$6, List!$A$3:$A$6, List!E$3:E$6, 0)*$C$8, 0)</f>
        <v>0</v>
      </c>
      <c r="G8" s="1">
        <f>IFERROR(IF(Estimator!$C$20="Yes", (_xlfn.XLOOKUP(Math!$A$6, List!$A$3:$A$6, List!F$3:F$6, 0)*$C$8), 0), 0)</f>
        <v>0</v>
      </c>
      <c r="J8" s="1">
        <f t="shared" si="0"/>
        <v>0</v>
      </c>
    </row>
    <row r="9" spans="1:10" x14ac:dyDescent="0.3">
      <c r="A9" t="s">
        <v>71</v>
      </c>
      <c r="B9">
        <f>IF(OR(Estimator!$C$15="Industrial", Estimator!$C$15="Mixed",), Estimator!C27, 0)</f>
        <v>0</v>
      </c>
      <c r="J9" s="1">
        <f t="shared" si="0"/>
        <v>0</v>
      </c>
    </row>
    <row r="10" spans="1:10" x14ac:dyDescent="0.3">
      <c r="A10" s="29" t="s">
        <v>7</v>
      </c>
      <c r="J10" s="1">
        <f t="shared" si="0"/>
        <v>0</v>
      </c>
    </row>
    <row r="11" spans="1:10" x14ac:dyDescent="0.3">
      <c r="A11" t="s">
        <v>66</v>
      </c>
      <c r="B11">
        <f>SUM(B12,B13)</f>
        <v>0</v>
      </c>
      <c r="C11" s="30">
        <f>IFERROR(B12/$B$23, 0)</f>
        <v>0</v>
      </c>
      <c r="D11" s="1">
        <f>D12*$C$11</f>
        <v>0</v>
      </c>
      <c r="E11" s="1">
        <f t="shared" ref="E11:G11" si="3">E12*$C$11</f>
        <v>0</v>
      </c>
      <c r="F11" s="1">
        <f t="shared" si="3"/>
        <v>0</v>
      </c>
      <c r="G11" s="1">
        <f t="shared" si="3"/>
        <v>0</v>
      </c>
      <c r="J11" s="1">
        <f t="shared" si="0"/>
        <v>0</v>
      </c>
    </row>
    <row r="12" spans="1:10" x14ac:dyDescent="0.3">
      <c r="A12" t="s">
        <v>70</v>
      </c>
      <c r="B12">
        <f>IF(OR(Estimator!$C$15="Institutional", Estimator!$C$15="Mixed",), Estimator!C28, 0)</f>
        <v>0</v>
      </c>
      <c r="C12" s="30">
        <f>IFERROR(B12/B11, 0)</f>
        <v>0</v>
      </c>
      <c r="D12" s="1">
        <f>IFERROR(_xlfn.XLOOKUP(Math!$A$10, List!$A$3:$A$6, List!C$3:C$6, 0)*$C$12, 0)</f>
        <v>0</v>
      </c>
      <c r="E12" s="1">
        <f>IFERROR(_xlfn.XLOOKUP(Math!$A$10, List!$A$3:$A$6, List!D$3:D$6, 0)*$C$12, 0)</f>
        <v>0</v>
      </c>
      <c r="F12" s="1">
        <f>IFERROR(_xlfn.XLOOKUP(Math!$A$10, List!$A$3:$A$6, List!E$3:E$6, 0)*$C$12, 0)</f>
        <v>0</v>
      </c>
      <c r="G12" s="1">
        <f>IFERROR(IF(Estimator!C20="Yes", (_xlfn.XLOOKUP(Math!$A$10, List!$A$3:$A$6, List!F$3:F$6, 0)*$C$12), 0), 0)</f>
        <v>0</v>
      </c>
      <c r="J12" s="1">
        <f t="shared" si="0"/>
        <v>0</v>
      </c>
    </row>
    <row r="13" spans="1:10" x14ac:dyDescent="0.3">
      <c r="A13" t="s">
        <v>71</v>
      </c>
      <c r="B13">
        <f>IF(OR(Estimator!$C$15="Institutional", Estimator!$C$15="Mixed",), Estimator!C29, 0)</f>
        <v>0</v>
      </c>
      <c r="J13" s="1">
        <f t="shared" si="0"/>
        <v>0</v>
      </c>
    </row>
    <row r="14" spans="1:10" x14ac:dyDescent="0.3">
      <c r="A14" s="29" t="s">
        <v>72</v>
      </c>
      <c r="J14" s="1">
        <f t="shared" si="0"/>
        <v>0</v>
      </c>
    </row>
    <row r="15" spans="1:10" x14ac:dyDescent="0.3">
      <c r="A15" t="s">
        <v>66</v>
      </c>
      <c r="B15">
        <f>SUM(B16,B17)</f>
        <v>0</v>
      </c>
      <c r="C15" s="30">
        <f>IFERROR(B16/$B$23, 0)</f>
        <v>0</v>
      </c>
      <c r="D15" s="1">
        <f>D16*$C$15</f>
        <v>0</v>
      </c>
      <c r="E15" s="1">
        <f t="shared" ref="E15:G15" si="4">E16*$C$15</f>
        <v>0</v>
      </c>
      <c r="F15" s="1">
        <f t="shared" si="4"/>
        <v>0</v>
      </c>
      <c r="G15" s="1">
        <f t="shared" si="4"/>
        <v>0</v>
      </c>
      <c r="J15" s="1">
        <f t="shared" si="0"/>
        <v>0</v>
      </c>
    </row>
    <row r="16" spans="1:10" x14ac:dyDescent="0.3">
      <c r="A16" t="s">
        <v>70</v>
      </c>
      <c r="B16">
        <f>IF(OR(Estimator!$C$15="Retail/Commercial", Estimator!$C$15="Mixed",), Estimator!C30, 0)</f>
        <v>0</v>
      </c>
      <c r="C16" s="30">
        <f>IFERROR(B16/B15, 0)</f>
        <v>0</v>
      </c>
      <c r="D16" s="1">
        <f>IFERROR(_xlfn.XLOOKUP(Math!$A$14, List!$A$3:$A$6, List!C$3:C$6, 0)*$C$16, 0)</f>
        <v>0</v>
      </c>
      <c r="E16" s="1">
        <f>IFERROR(_xlfn.XLOOKUP(Math!$A$14, List!$A$3:$A$6, List!D$3:D$6, 0)*$C$16, 0)</f>
        <v>0</v>
      </c>
      <c r="F16" s="1">
        <f>IFERROR(_xlfn.XLOOKUP(Math!$A$14, List!$A$3:$A$6, List!E$3:E$6, 0)*$C$16, 0)</f>
        <v>0</v>
      </c>
      <c r="G16" s="1">
        <f>IFERROR(IF(Estimator!C20="Yes", (_xlfn.XLOOKUP(Math!$A$14, List!$A$3:$A$6, List!F$3:F$6, 0)*$C$16), 0), 0)</f>
        <v>0</v>
      </c>
      <c r="J16" s="1">
        <f t="shared" si="0"/>
        <v>0</v>
      </c>
    </row>
    <row r="17" spans="1:10" x14ac:dyDescent="0.3">
      <c r="A17" t="s">
        <v>71</v>
      </c>
      <c r="B17">
        <f>IF(OR(Estimator!$C$15="Retail/Commercial", Estimator!$C$15="Mixed",), Estimator!C31, 0)</f>
        <v>0</v>
      </c>
      <c r="J17" s="1">
        <f t="shared" si="0"/>
        <v>0</v>
      </c>
    </row>
    <row r="18" spans="1:10" x14ac:dyDescent="0.3">
      <c r="A18" s="29" t="s">
        <v>9</v>
      </c>
      <c r="J18" s="1">
        <f t="shared" si="0"/>
        <v>0</v>
      </c>
    </row>
    <row r="19" spans="1:10" x14ac:dyDescent="0.3">
      <c r="A19" t="s">
        <v>66</v>
      </c>
      <c r="B19">
        <f>SUM(B20,B21)</f>
        <v>0</v>
      </c>
      <c r="C19" s="30">
        <f>IFERROR(B20/$B$23, 0)</f>
        <v>0</v>
      </c>
      <c r="D19" s="1">
        <f>D20*$C$19</f>
        <v>0</v>
      </c>
      <c r="E19" s="1">
        <f t="shared" ref="E19:G19" si="5">E20*$C$19</f>
        <v>0</v>
      </c>
      <c r="F19" s="1">
        <f t="shared" si="5"/>
        <v>0</v>
      </c>
      <c r="G19" s="1">
        <f t="shared" si="5"/>
        <v>0</v>
      </c>
      <c r="J19" s="1">
        <f t="shared" si="0"/>
        <v>0</v>
      </c>
    </row>
    <row r="20" spans="1:10" x14ac:dyDescent="0.3">
      <c r="A20" t="s">
        <v>70</v>
      </c>
      <c r="B20">
        <f>IF(OR(Estimator!$C$15="Office", Estimator!$C$15="Mixed",), Estimator!C32, 0)</f>
        <v>0</v>
      </c>
      <c r="C20" s="30">
        <f>IFERROR(B20/B19, 0)</f>
        <v>0</v>
      </c>
      <c r="D20" s="1">
        <f>IFERROR(_xlfn.XLOOKUP(Math!$A$18, List!$A$3:$A$6, List!C$3:C$6, 0)*$C$20, 0)</f>
        <v>0</v>
      </c>
      <c r="E20" s="1">
        <f>IFERROR(_xlfn.XLOOKUP(Math!$A$18, List!$A$3:$A$6, List!D$3:D$6, 0)*$C$20, 0)</f>
        <v>0</v>
      </c>
      <c r="F20" s="1">
        <f>IFERROR(_xlfn.XLOOKUP(Math!$A$18, List!$A$3:$A$6, List!E$3:E$6, 0)*$C$20, 0)</f>
        <v>0</v>
      </c>
      <c r="G20" s="1">
        <f>IFERROR(IF(Estimator!C20="Yes", (_xlfn.XLOOKUP(Math!$A$18, List!$A$3:$A$6, List!F$3:F$6, 0)*$C$20), 0), 0)</f>
        <v>0</v>
      </c>
      <c r="J20" s="1">
        <f t="shared" si="0"/>
        <v>0</v>
      </c>
    </row>
    <row r="21" spans="1:10" x14ac:dyDescent="0.3">
      <c r="A21" t="s">
        <v>71</v>
      </c>
      <c r="B21">
        <f>IF(OR(Estimator!$C$15="Office", Estimator!$C$15="Mixed",), Estimator!C33, 0)</f>
        <v>0</v>
      </c>
      <c r="J21" s="1">
        <f t="shared" si="0"/>
        <v>0</v>
      </c>
    </row>
    <row r="22" spans="1:10" x14ac:dyDescent="0.3">
      <c r="A22" s="29" t="s">
        <v>73</v>
      </c>
      <c r="J22" s="1">
        <f t="shared" si="0"/>
        <v>0</v>
      </c>
    </row>
    <row r="23" spans="1:10" x14ac:dyDescent="0.3">
      <c r="A23" t="s">
        <v>74</v>
      </c>
      <c r="B23">
        <f>SUM(B8,B12,B16,B20)</f>
        <v>0</v>
      </c>
      <c r="C23" s="30">
        <f t="shared" ref="C23:J23" si="6">SUM(C7,C11,C15,C19)</f>
        <v>0</v>
      </c>
      <c r="D23" s="1">
        <f t="shared" si="6"/>
        <v>0</v>
      </c>
      <c r="E23" s="1">
        <f t="shared" si="6"/>
        <v>0</v>
      </c>
      <c r="F23" s="1">
        <f t="shared" si="6"/>
        <v>0</v>
      </c>
      <c r="G23" s="1">
        <f t="shared" si="6"/>
        <v>0</v>
      </c>
      <c r="J23" s="1">
        <f t="shared" si="6"/>
        <v>0</v>
      </c>
    </row>
    <row r="24" spans="1:10" x14ac:dyDescent="0.3">
      <c r="A24" s="29" t="s">
        <v>16</v>
      </c>
    </row>
    <row r="25" spans="1:10" x14ac:dyDescent="0.3">
      <c r="A25" s="29" t="s">
        <v>66</v>
      </c>
      <c r="B25" s="29">
        <f>SUM(B2,B7,B11,B15,B19)</f>
        <v>0</v>
      </c>
      <c r="C25" s="31"/>
      <c r="D25" s="32">
        <f>SUM(D5,D23)</f>
        <v>0</v>
      </c>
      <c r="E25" s="32">
        <f t="shared" ref="E25:J25" si="7">SUM(E5,E23)</f>
        <v>0</v>
      </c>
      <c r="F25" s="32">
        <f t="shared" si="7"/>
        <v>0</v>
      </c>
      <c r="G25" s="32">
        <f t="shared" si="7"/>
        <v>0</v>
      </c>
      <c r="H25" s="32">
        <f t="shared" si="7"/>
        <v>0</v>
      </c>
      <c r="I25" s="32">
        <f t="shared" si="7"/>
        <v>0</v>
      </c>
      <c r="J25" s="32">
        <f t="shared" si="7"/>
        <v>0</v>
      </c>
    </row>
  </sheetData>
  <sheetProtection algorithmName="SHA-512" hashValue="654PULxNw9bFI/sS4oESasIy3eYoKqIPmIlcYgpnMbWQiqzEqQq2XejIhGhyFDgHsa3vtCmD1VWTMYl2L8YgLQ==" saltValue="Z4pxog9qstjVEaqH5+/XC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6C291-ECB9-44F3-92F4-17B477F06FAC}">
  <dimension ref="A1:K33"/>
  <sheetViews>
    <sheetView showGridLines="0" view="pageLayout" topLeftCell="A32" zoomScaleNormal="100" workbookViewId="0">
      <selection activeCell="A17" sqref="A17:XFD17"/>
    </sheetView>
  </sheetViews>
  <sheetFormatPr defaultRowHeight="14.4" x14ac:dyDescent="0.3"/>
  <cols>
    <col min="1" max="1" width="19" customWidth="1"/>
    <col min="2" max="3" width="11.109375" customWidth="1"/>
    <col min="4" max="4" width="11.44140625" customWidth="1"/>
    <col min="5" max="5" width="10.6640625" customWidth="1"/>
    <col min="6" max="6" width="10.5546875" customWidth="1"/>
    <col min="7" max="7" width="11.44140625" customWidth="1"/>
    <col min="9" max="9" width="12.44140625" customWidth="1"/>
  </cols>
  <sheetData>
    <row r="1" spans="1:11" ht="20.25" customHeight="1" x14ac:dyDescent="0.3">
      <c r="B1" s="1"/>
      <c r="C1" s="1"/>
      <c r="G1" s="130" t="s">
        <v>131</v>
      </c>
      <c r="H1" s="130"/>
      <c r="I1" s="130"/>
      <c r="J1" s="130"/>
    </row>
    <row r="2" spans="1:11" ht="21" x14ac:dyDescent="0.3">
      <c r="B2" s="1"/>
      <c r="C2" s="1"/>
      <c r="F2" s="2"/>
      <c r="G2" s="130"/>
      <c r="H2" s="130"/>
      <c r="I2" s="130"/>
      <c r="J2" s="130"/>
    </row>
    <row r="3" spans="1:11" ht="21" x14ac:dyDescent="0.3">
      <c r="B3" s="1"/>
      <c r="C3" s="1"/>
      <c r="F3" s="2"/>
      <c r="G3" s="130"/>
      <c r="H3" s="130"/>
      <c r="I3" s="130"/>
      <c r="J3" s="130"/>
    </row>
    <row r="4" spans="1:11" ht="21" x14ac:dyDescent="0.3">
      <c r="B4" s="1"/>
      <c r="C4" s="1"/>
      <c r="F4" s="2"/>
      <c r="G4" s="130"/>
      <c r="H4" s="130"/>
      <c r="I4" s="130"/>
      <c r="J4" s="130"/>
    </row>
    <row r="5" spans="1:11" ht="15" customHeight="1" x14ac:dyDescent="0.3">
      <c r="B5" s="1"/>
      <c r="C5" s="1"/>
      <c r="G5" s="130"/>
      <c r="H5" s="130"/>
      <c r="I5" s="130"/>
      <c r="J5" s="130"/>
    </row>
    <row r="6" spans="1:11" ht="18.75" customHeight="1" x14ac:dyDescent="0.35">
      <c r="A6" s="3" t="s">
        <v>13</v>
      </c>
      <c r="B6" s="1"/>
      <c r="C6" s="1"/>
      <c r="G6" s="130"/>
      <c r="H6" s="130"/>
      <c r="I6" s="130"/>
      <c r="J6" s="130"/>
    </row>
    <row r="7" spans="1:11" ht="18.600000000000001" thickBot="1" x14ac:dyDescent="0.4">
      <c r="A7" s="3"/>
      <c r="B7" s="1"/>
      <c r="C7" s="1"/>
    </row>
    <row r="8" spans="1:11" ht="35.4" customHeight="1" thickBot="1" x14ac:dyDescent="0.35">
      <c r="A8" s="123" t="s">
        <v>75</v>
      </c>
      <c r="B8" s="124"/>
      <c r="C8" s="124"/>
      <c r="D8" s="124"/>
      <c r="E8" s="125"/>
      <c r="F8" s="76"/>
      <c r="G8" s="76"/>
    </row>
    <row r="9" spans="1:11" ht="86.4" x14ac:dyDescent="0.3">
      <c r="A9" s="7" t="s">
        <v>15</v>
      </c>
      <c r="B9" s="20" t="s">
        <v>16</v>
      </c>
      <c r="C9" s="9" t="s">
        <v>76</v>
      </c>
      <c r="D9" s="9" t="s">
        <v>77</v>
      </c>
      <c r="E9" s="10" t="s">
        <v>78</v>
      </c>
      <c r="F9" s="77"/>
      <c r="G9" s="77"/>
      <c r="H9" s="4"/>
      <c r="I9" s="4"/>
      <c r="J9" s="4"/>
      <c r="K9" s="4"/>
    </row>
    <row r="10" spans="1:11" x14ac:dyDescent="0.3">
      <c r="A10" s="11" t="s">
        <v>18</v>
      </c>
      <c r="B10" s="19">
        <f>SUM(C10:E10)</f>
        <v>1566</v>
      </c>
      <c r="C10" s="6">
        <v>216</v>
      </c>
      <c r="D10" s="6">
        <v>114</v>
      </c>
      <c r="E10" s="12">
        <v>1236</v>
      </c>
      <c r="F10" s="78"/>
      <c r="G10" s="78"/>
    </row>
    <row r="11" spans="1:11" x14ac:dyDescent="0.3">
      <c r="A11" s="11" t="s">
        <v>19</v>
      </c>
      <c r="B11" s="19">
        <f>SUM(C11:E11)</f>
        <v>2402</v>
      </c>
      <c r="C11" s="6">
        <v>466</v>
      </c>
      <c r="D11" s="6">
        <v>247</v>
      </c>
      <c r="E11" s="12">
        <v>1689</v>
      </c>
      <c r="F11" s="78"/>
      <c r="G11" s="78"/>
    </row>
    <row r="12" spans="1:11" x14ac:dyDescent="0.3">
      <c r="A12" s="11" t="s">
        <v>20</v>
      </c>
      <c r="B12" s="19">
        <f t="shared" ref="B12:B13" si="0">SUM(C12:E12)</f>
        <v>5901</v>
      </c>
      <c r="C12" s="6">
        <v>1248</v>
      </c>
      <c r="D12" s="6">
        <v>660</v>
      </c>
      <c r="E12" s="12">
        <v>3993</v>
      </c>
      <c r="F12" s="78"/>
      <c r="G12" s="78"/>
    </row>
    <row r="13" spans="1:11" ht="15" thickBot="1" x14ac:dyDescent="0.35">
      <c r="A13" s="13" t="s">
        <v>21</v>
      </c>
      <c r="B13" s="21">
        <f t="shared" si="0"/>
        <v>2989</v>
      </c>
      <c r="C13" s="14">
        <v>424</v>
      </c>
      <c r="D13" s="14">
        <v>224</v>
      </c>
      <c r="E13" s="15">
        <v>2341</v>
      </c>
      <c r="F13" s="78"/>
      <c r="G13" s="78"/>
    </row>
    <row r="14" spans="1:11" x14ac:dyDescent="0.3">
      <c r="B14" s="1"/>
      <c r="C14" s="1"/>
    </row>
    <row r="15" spans="1:11" ht="18" x14ac:dyDescent="0.35">
      <c r="A15" s="3" t="s">
        <v>24</v>
      </c>
    </row>
    <row r="16" spans="1:11" ht="15" thickBot="1" x14ac:dyDescent="0.35"/>
    <row r="17" spans="1:9" ht="31.8" customHeight="1" thickBot="1" x14ac:dyDescent="0.35">
      <c r="A17" s="123" t="s">
        <v>79</v>
      </c>
      <c r="B17" s="124"/>
      <c r="C17" s="124"/>
      <c r="D17" s="124"/>
      <c r="E17" s="124"/>
      <c r="F17" s="125"/>
      <c r="G17" s="82"/>
      <c r="H17" s="82"/>
      <c r="I17" s="82"/>
    </row>
    <row r="18" spans="1:9" s="23" customFormat="1" ht="72" x14ac:dyDescent="0.3">
      <c r="A18" s="22" t="s">
        <v>26</v>
      </c>
      <c r="B18" s="18" t="s">
        <v>16</v>
      </c>
      <c r="C18" s="9" t="s">
        <v>80</v>
      </c>
      <c r="D18" s="9" t="s">
        <v>81</v>
      </c>
      <c r="E18" s="9" t="s">
        <v>138</v>
      </c>
      <c r="F18" s="10" t="s">
        <v>82</v>
      </c>
      <c r="G18" s="77"/>
      <c r="H18" s="77"/>
      <c r="I18" s="77"/>
    </row>
    <row r="19" spans="1:9" x14ac:dyDescent="0.3">
      <c r="A19" s="11" t="s">
        <v>30</v>
      </c>
      <c r="B19" s="19">
        <f>SUM(C19:F19)</f>
        <v>1736</v>
      </c>
      <c r="C19" s="6">
        <v>171</v>
      </c>
      <c r="D19" s="6">
        <v>77</v>
      </c>
      <c r="E19" s="6">
        <v>100</v>
      </c>
      <c r="F19" s="12">
        <v>1388</v>
      </c>
      <c r="G19" s="78"/>
      <c r="H19" s="78"/>
      <c r="I19" s="78"/>
    </row>
    <row r="20" spans="1:9" x14ac:dyDescent="0.3">
      <c r="A20" s="11" t="s">
        <v>31</v>
      </c>
      <c r="B20" s="19">
        <f t="shared" ref="B20:B33" si="1">SUM(C20:F20)</f>
        <v>2026</v>
      </c>
      <c r="C20" s="6">
        <v>236</v>
      </c>
      <c r="D20" s="6">
        <v>106</v>
      </c>
      <c r="E20" s="6">
        <v>138</v>
      </c>
      <c r="F20" s="12">
        <v>1546</v>
      </c>
      <c r="G20" s="78"/>
      <c r="H20" s="78"/>
      <c r="I20" s="78"/>
    </row>
    <row r="21" spans="1:9" x14ac:dyDescent="0.3">
      <c r="A21" s="11" t="s">
        <v>32</v>
      </c>
      <c r="B21" s="19">
        <f t="shared" si="1"/>
        <v>2298</v>
      </c>
      <c r="C21" s="6">
        <v>286</v>
      </c>
      <c r="D21" s="6">
        <v>128</v>
      </c>
      <c r="E21" s="6">
        <v>167</v>
      </c>
      <c r="F21" s="12">
        <v>1717</v>
      </c>
      <c r="G21" s="78"/>
      <c r="H21" s="78"/>
      <c r="I21" s="78"/>
    </row>
    <row r="22" spans="1:9" x14ac:dyDescent="0.3">
      <c r="A22" s="11" t="s">
        <v>33</v>
      </c>
      <c r="B22" s="19">
        <f t="shared" si="1"/>
        <v>2511</v>
      </c>
      <c r="C22" s="6">
        <v>330</v>
      </c>
      <c r="D22" s="6">
        <v>147</v>
      </c>
      <c r="E22" s="6">
        <v>193</v>
      </c>
      <c r="F22" s="12">
        <v>1841</v>
      </c>
      <c r="G22" s="78"/>
      <c r="H22" s="78"/>
      <c r="I22" s="78"/>
    </row>
    <row r="23" spans="1:9" x14ac:dyDescent="0.3">
      <c r="A23" s="11" t="s">
        <v>34</v>
      </c>
      <c r="B23" s="19">
        <f t="shared" si="1"/>
        <v>2809</v>
      </c>
      <c r="C23" s="6">
        <v>363</v>
      </c>
      <c r="D23" s="6">
        <v>163</v>
      </c>
      <c r="E23" s="6">
        <v>212</v>
      </c>
      <c r="F23" s="12">
        <v>2071</v>
      </c>
      <c r="G23" s="78"/>
      <c r="H23" s="78"/>
      <c r="I23" s="78"/>
    </row>
    <row r="24" spans="1:9" x14ac:dyDescent="0.3">
      <c r="A24" s="11" t="s">
        <v>35</v>
      </c>
      <c r="B24" s="19">
        <f t="shared" si="1"/>
        <v>2963</v>
      </c>
      <c r="C24" s="6">
        <v>394</v>
      </c>
      <c r="D24" s="6">
        <v>177</v>
      </c>
      <c r="E24" s="6">
        <v>230</v>
      </c>
      <c r="F24" s="12">
        <v>2162</v>
      </c>
      <c r="G24" s="78"/>
      <c r="H24" s="78"/>
      <c r="I24" s="78"/>
    </row>
    <row r="25" spans="1:9" x14ac:dyDescent="0.3">
      <c r="A25" s="11" t="s">
        <v>36</v>
      </c>
      <c r="B25" s="19">
        <f t="shared" si="1"/>
        <v>3193</v>
      </c>
      <c r="C25" s="6">
        <v>422</v>
      </c>
      <c r="D25" s="6">
        <v>189</v>
      </c>
      <c r="E25" s="6">
        <v>247</v>
      </c>
      <c r="F25" s="12">
        <v>2335</v>
      </c>
      <c r="G25" s="78"/>
      <c r="H25" s="78"/>
      <c r="I25" s="78"/>
    </row>
    <row r="26" spans="1:9" x14ac:dyDescent="0.3">
      <c r="A26" s="11" t="s">
        <v>37</v>
      </c>
      <c r="B26" s="19">
        <f t="shared" si="1"/>
        <v>3311</v>
      </c>
      <c r="C26" s="6">
        <v>445</v>
      </c>
      <c r="D26" s="6">
        <v>199</v>
      </c>
      <c r="E26" s="6">
        <v>260</v>
      </c>
      <c r="F26" s="12">
        <v>2407</v>
      </c>
      <c r="G26" s="78"/>
      <c r="H26" s="78"/>
      <c r="I26" s="78"/>
    </row>
    <row r="27" spans="1:9" x14ac:dyDescent="0.3">
      <c r="A27" s="11" t="s">
        <v>38</v>
      </c>
      <c r="B27" s="19">
        <f t="shared" si="1"/>
        <v>3503</v>
      </c>
      <c r="C27" s="6">
        <v>468</v>
      </c>
      <c r="D27" s="6">
        <v>210</v>
      </c>
      <c r="E27" s="6">
        <v>274</v>
      </c>
      <c r="F27" s="12">
        <v>2551</v>
      </c>
      <c r="G27" s="78"/>
      <c r="H27" s="78"/>
      <c r="I27" s="78"/>
    </row>
    <row r="28" spans="1:9" x14ac:dyDescent="0.3">
      <c r="A28" s="11" t="s">
        <v>39</v>
      </c>
      <c r="B28" s="19">
        <f t="shared" si="1"/>
        <v>3599</v>
      </c>
      <c r="C28" s="6">
        <v>487</v>
      </c>
      <c r="D28" s="6">
        <v>218</v>
      </c>
      <c r="E28" s="6">
        <v>284</v>
      </c>
      <c r="F28" s="12">
        <v>2610</v>
      </c>
      <c r="G28" s="78"/>
      <c r="H28" s="78"/>
      <c r="I28" s="78"/>
    </row>
    <row r="29" spans="1:9" x14ac:dyDescent="0.3">
      <c r="A29" s="11" t="s">
        <v>40</v>
      </c>
      <c r="B29" s="19">
        <f t="shared" si="1"/>
        <v>3692</v>
      </c>
      <c r="C29" s="6">
        <v>505</v>
      </c>
      <c r="D29" s="6">
        <v>226</v>
      </c>
      <c r="E29" s="6">
        <v>295</v>
      </c>
      <c r="F29" s="12">
        <v>2666</v>
      </c>
      <c r="G29" s="78"/>
      <c r="H29" s="78"/>
      <c r="I29" s="78"/>
    </row>
    <row r="30" spans="1:9" x14ac:dyDescent="0.3">
      <c r="A30" s="11" t="s">
        <v>41</v>
      </c>
      <c r="B30" s="19">
        <f t="shared" si="1"/>
        <v>3807</v>
      </c>
      <c r="C30" s="6">
        <v>522</v>
      </c>
      <c r="D30" s="6">
        <v>234</v>
      </c>
      <c r="E30" s="6">
        <v>305</v>
      </c>
      <c r="F30" s="12">
        <v>2746</v>
      </c>
      <c r="G30" s="78"/>
      <c r="H30" s="78"/>
      <c r="I30" s="78"/>
    </row>
    <row r="31" spans="1:9" x14ac:dyDescent="0.3">
      <c r="A31" s="11" t="s">
        <v>42</v>
      </c>
      <c r="B31" s="19">
        <f t="shared" si="1"/>
        <v>3924</v>
      </c>
      <c r="C31" s="6">
        <v>539</v>
      </c>
      <c r="D31" s="6">
        <v>242</v>
      </c>
      <c r="E31" s="6">
        <v>315</v>
      </c>
      <c r="F31" s="12">
        <v>2828</v>
      </c>
      <c r="G31" s="78"/>
      <c r="H31" s="78"/>
      <c r="I31" s="78"/>
    </row>
    <row r="32" spans="1:9" x14ac:dyDescent="0.3">
      <c r="A32" s="11" t="s">
        <v>43</v>
      </c>
      <c r="B32" s="19">
        <f t="shared" si="1"/>
        <v>4026</v>
      </c>
      <c r="C32" s="6">
        <v>553</v>
      </c>
      <c r="D32" s="6">
        <v>248</v>
      </c>
      <c r="E32" s="6">
        <v>323</v>
      </c>
      <c r="F32" s="12">
        <v>2902</v>
      </c>
      <c r="G32" s="78"/>
      <c r="H32" s="78"/>
      <c r="I32" s="78"/>
    </row>
    <row r="33" spans="1:9" ht="15" thickBot="1" x14ac:dyDescent="0.35">
      <c r="A33" s="13" t="s">
        <v>44</v>
      </c>
      <c r="B33" s="21">
        <f t="shared" si="1"/>
        <v>4091</v>
      </c>
      <c r="C33" s="14">
        <v>567</v>
      </c>
      <c r="D33" s="14">
        <v>254</v>
      </c>
      <c r="E33" s="14">
        <v>331</v>
      </c>
      <c r="F33" s="15">
        <v>2939</v>
      </c>
      <c r="G33" s="78"/>
      <c r="H33" s="78"/>
      <c r="I33" s="78"/>
    </row>
  </sheetData>
  <sheetProtection algorithmName="SHA-512" hashValue="mEjEK1DsDWq0uyMzFZeTljRXqmLtIzSnMs+MzvSfP9aUdDUyXKrn2+ylfjKZoMtC+QdzvHKA6Im4ypWoQnPuTA==" saltValue="5Q38EpY6h6Q0d+OyjJQD+A==" spinCount="100000" sheet="1" objects="1" scenarios="1"/>
  <mergeCells count="3">
    <mergeCell ref="G1:J6"/>
    <mergeCell ref="A8:E8"/>
    <mergeCell ref="A17:F17"/>
  </mergeCells>
  <pageMargins left="0.7" right="0.7" top="0.75" bottom="0.75" header="0.3" footer="0.3"/>
  <pageSetup orientation="landscape" r:id="rId1"/>
  <headerFooter>
    <oddFooter>&amp;RIMPACT FEE SCHEDULE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7B64E-D5BA-40B3-A871-512BCB1C000B}">
  <dimension ref="A1:G94"/>
  <sheetViews>
    <sheetView topLeftCell="A22" workbookViewId="0">
      <selection activeCell="C24" sqref="C24"/>
    </sheetView>
  </sheetViews>
  <sheetFormatPr defaultRowHeight="14.4" x14ac:dyDescent="0.3"/>
  <cols>
    <col min="1" max="2" width="23.44140625" customWidth="1"/>
    <col min="3" max="3" width="17.33203125" customWidth="1"/>
    <col min="4" max="4" width="14" customWidth="1"/>
    <col min="5" max="5" width="15.6640625" customWidth="1"/>
    <col min="6" max="6" width="16.88671875" customWidth="1"/>
  </cols>
  <sheetData>
    <row r="1" spans="1:6" ht="15" thickBot="1" x14ac:dyDescent="0.35"/>
    <row r="2" spans="1:6" s="98" customFormat="1" ht="28.8" x14ac:dyDescent="0.3">
      <c r="A2" s="99" t="s">
        <v>83</v>
      </c>
      <c r="B2" s="100"/>
      <c r="C2" s="101" t="s">
        <v>63</v>
      </c>
      <c r="D2" s="100" t="s">
        <v>17</v>
      </c>
      <c r="E2" s="100" t="s">
        <v>84</v>
      </c>
      <c r="F2" s="102" t="s">
        <v>85</v>
      </c>
    </row>
    <row r="3" spans="1:6" x14ac:dyDescent="0.3">
      <c r="A3" s="11" t="s">
        <v>18</v>
      </c>
      <c r="C3" s="91">
        <v>168</v>
      </c>
      <c r="D3" s="1">
        <v>216</v>
      </c>
      <c r="E3" s="1">
        <v>114</v>
      </c>
      <c r="F3" s="92">
        <v>667</v>
      </c>
    </row>
    <row r="4" spans="1:6" x14ac:dyDescent="0.3">
      <c r="A4" s="11" t="s">
        <v>19</v>
      </c>
      <c r="C4" s="91">
        <v>291</v>
      </c>
      <c r="D4" s="1">
        <v>466</v>
      </c>
      <c r="E4" s="1">
        <v>247</v>
      </c>
      <c r="F4" s="92">
        <v>1442</v>
      </c>
    </row>
    <row r="5" spans="1:6" x14ac:dyDescent="0.3">
      <c r="A5" s="11" t="s">
        <v>20</v>
      </c>
      <c r="C5" s="91">
        <v>241</v>
      </c>
      <c r="D5" s="1">
        <v>1248</v>
      </c>
      <c r="E5" s="1">
        <v>660</v>
      </c>
      <c r="F5" s="92">
        <v>3859</v>
      </c>
    </row>
    <row r="6" spans="1:6" ht="15" thickBot="1" x14ac:dyDescent="0.35">
      <c r="A6" s="13" t="s">
        <v>21</v>
      </c>
      <c r="B6" s="103"/>
      <c r="C6" s="94">
        <v>306</v>
      </c>
      <c r="D6" s="95">
        <v>424</v>
      </c>
      <c r="E6" s="95">
        <v>224</v>
      </c>
      <c r="F6" s="96">
        <v>1310</v>
      </c>
    </row>
    <row r="7" spans="1:6" s="104" customFormat="1" ht="29.4" thickBot="1" x14ac:dyDescent="0.35">
      <c r="A7" s="105" t="s">
        <v>11</v>
      </c>
      <c r="B7" s="106"/>
      <c r="C7" s="107" t="s">
        <v>63</v>
      </c>
      <c r="D7" s="108" t="s">
        <v>17</v>
      </c>
      <c r="E7" s="108" t="s">
        <v>84</v>
      </c>
      <c r="F7" s="109" t="s">
        <v>85</v>
      </c>
    </row>
    <row r="8" spans="1:6" x14ac:dyDescent="0.3">
      <c r="A8" s="86" t="s">
        <v>86</v>
      </c>
      <c r="B8" s="27" t="s">
        <v>87</v>
      </c>
      <c r="C8" s="91">
        <v>138</v>
      </c>
      <c r="D8" s="1">
        <v>171</v>
      </c>
      <c r="E8" s="1">
        <v>77</v>
      </c>
      <c r="F8" s="92">
        <v>902</v>
      </c>
    </row>
    <row r="9" spans="1:6" x14ac:dyDescent="0.3">
      <c r="A9" s="11" t="s">
        <v>31</v>
      </c>
      <c r="B9" s="27" t="s">
        <v>88</v>
      </c>
      <c r="C9" s="91">
        <v>190</v>
      </c>
      <c r="D9" s="1">
        <v>236</v>
      </c>
      <c r="E9" s="1">
        <v>106</v>
      </c>
      <c r="F9" s="92">
        <v>1244</v>
      </c>
    </row>
    <row r="10" spans="1:6" x14ac:dyDescent="0.3">
      <c r="A10" s="11" t="s">
        <v>32</v>
      </c>
      <c r="B10" s="27" t="s">
        <v>89</v>
      </c>
      <c r="C10" s="91">
        <v>231</v>
      </c>
      <c r="D10" s="1">
        <v>286</v>
      </c>
      <c r="E10" s="1">
        <v>128</v>
      </c>
      <c r="F10" s="92">
        <v>1512</v>
      </c>
    </row>
    <row r="11" spans="1:6" x14ac:dyDescent="0.3">
      <c r="A11" s="11" t="s">
        <v>33</v>
      </c>
      <c r="B11" s="27" t="s">
        <v>90</v>
      </c>
      <c r="C11" s="91">
        <v>265</v>
      </c>
      <c r="D11" s="1">
        <v>330</v>
      </c>
      <c r="E11" s="1">
        <v>147</v>
      </c>
      <c r="F11" s="92">
        <v>1740</v>
      </c>
    </row>
    <row r="12" spans="1:6" x14ac:dyDescent="0.3">
      <c r="A12" s="11" t="s">
        <v>34</v>
      </c>
      <c r="B12" s="27" t="s">
        <v>91</v>
      </c>
      <c r="C12" s="91">
        <v>293</v>
      </c>
      <c r="D12" s="1">
        <v>363</v>
      </c>
      <c r="E12" s="1">
        <v>163</v>
      </c>
      <c r="F12" s="92">
        <v>1919</v>
      </c>
    </row>
    <row r="13" spans="1:6" x14ac:dyDescent="0.3">
      <c r="A13" s="11" t="s">
        <v>35</v>
      </c>
      <c r="B13" s="27" t="s">
        <v>92</v>
      </c>
      <c r="C13" s="91">
        <v>317</v>
      </c>
      <c r="D13" s="1">
        <v>394</v>
      </c>
      <c r="E13" s="1">
        <v>177</v>
      </c>
      <c r="F13" s="92">
        <v>2081</v>
      </c>
    </row>
    <row r="14" spans="1:6" x14ac:dyDescent="0.3">
      <c r="A14" s="11" t="s">
        <v>36</v>
      </c>
      <c r="B14" s="27" t="s">
        <v>93</v>
      </c>
      <c r="C14" s="91">
        <v>340</v>
      </c>
      <c r="D14" s="1">
        <v>422</v>
      </c>
      <c r="E14" s="1">
        <v>189</v>
      </c>
      <c r="F14" s="92">
        <v>2228</v>
      </c>
    </row>
    <row r="15" spans="1:6" x14ac:dyDescent="0.3">
      <c r="A15" s="11" t="s">
        <v>37</v>
      </c>
      <c r="B15" s="27" t="s">
        <v>94</v>
      </c>
      <c r="C15" s="91">
        <v>358</v>
      </c>
      <c r="D15" s="1">
        <v>445</v>
      </c>
      <c r="E15" s="1">
        <v>199</v>
      </c>
      <c r="F15" s="92">
        <v>2350</v>
      </c>
    </row>
    <row r="16" spans="1:6" x14ac:dyDescent="0.3">
      <c r="A16" s="11" t="s">
        <v>38</v>
      </c>
      <c r="B16" s="27" t="s">
        <v>95</v>
      </c>
      <c r="C16" s="91">
        <v>377</v>
      </c>
      <c r="D16" s="1">
        <v>468</v>
      </c>
      <c r="E16" s="1">
        <v>210</v>
      </c>
      <c r="F16" s="92">
        <v>2472</v>
      </c>
    </row>
    <row r="17" spans="1:7" x14ac:dyDescent="0.3">
      <c r="A17" s="11" t="s">
        <v>39</v>
      </c>
      <c r="B17" s="27" t="s">
        <v>96</v>
      </c>
      <c r="C17" s="91">
        <v>392</v>
      </c>
      <c r="D17" s="1">
        <v>487</v>
      </c>
      <c r="E17" s="1">
        <v>218</v>
      </c>
      <c r="F17" s="92">
        <v>2569</v>
      </c>
    </row>
    <row r="18" spans="1:7" x14ac:dyDescent="0.3">
      <c r="A18" s="11" t="s">
        <v>40</v>
      </c>
      <c r="B18" s="27" t="s">
        <v>97</v>
      </c>
      <c r="C18" s="91">
        <v>407</v>
      </c>
      <c r="D18" s="1">
        <v>505</v>
      </c>
      <c r="E18" s="1">
        <v>226</v>
      </c>
      <c r="F18" s="92">
        <v>2667</v>
      </c>
    </row>
    <row r="19" spans="1:7" x14ac:dyDescent="0.3">
      <c r="A19" s="11" t="s">
        <v>41</v>
      </c>
      <c r="B19" s="27" t="s">
        <v>98</v>
      </c>
      <c r="C19" s="91">
        <v>420</v>
      </c>
      <c r="D19" s="1">
        <v>522</v>
      </c>
      <c r="E19" s="1">
        <v>234</v>
      </c>
      <c r="F19" s="92">
        <v>2756</v>
      </c>
    </row>
    <row r="20" spans="1:7" x14ac:dyDescent="0.3">
      <c r="A20" s="11" t="s">
        <v>42</v>
      </c>
      <c r="B20" s="27" t="s">
        <v>99</v>
      </c>
      <c r="C20" s="91">
        <v>434</v>
      </c>
      <c r="D20" s="1">
        <v>539</v>
      </c>
      <c r="E20" s="1">
        <v>242</v>
      </c>
      <c r="F20" s="92">
        <v>2846</v>
      </c>
    </row>
    <row r="21" spans="1:7" x14ac:dyDescent="0.3">
      <c r="A21" s="11" t="s">
        <v>43</v>
      </c>
      <c r="B21" s="27" t="s">
        <v>100</v>
      </c>
      <c r="C21" s="91">
        <v>445</v>
      </c>
      <c r="D21" s="1">
        <v>553</v>
      </c>
      <c r="E21" s="1">
        <v>248</v>
      </c>
      <c r="F21" s="92">
        <v>2919</v>
      </c>
    </row>
    <row r="22" spans="1:7" ht="15" thickBot="1" x14ac:dyDescent="0.35">
      <c r="A22" s="89" t="s">
        <v>44</v>
      </c>
      <c r="B22" s="27" t="s">
        <v>101</v>
      </c>
      <c r="C22" s="91">
        <v>456</v>
      </c>
      <c r="D22" s="1">
        <v>567</v>
      </c>
      <c r="E22" s="1">
        <v>254</v>
      </c>
      <c r="F22" s="92">
        <v>2992</v>
      </c>
    </row>
    <row r="23" spans="1:7" s="104" customFormat="1" ht="28.8" x14ac:dyDescent="0.3">
      <c r="A23" s="99" t="s">
        <v>139</v>
      </c>
      <c r="B23" s="110" t="s">
        <v>102</v>
      </c>
      <c r="C23" s="100" t="s">
        <v>142</v>
      </c>
      <c r="D23" s="100" t="s">
        <v>104</v>
      </c>
      <c r="E23" s="100" t="s">
        <v>105</v>
      </c>
      <c r="F23" s="100" t="s">
        <v>106</v>
      </c>
      <c r="G23" s="102" t="s">
        <v>57</v>
      </c>
    </row>
    <row r="24" spans="1:7" x14ac:dyDescent="0.3">
      <c r="A24" s="11" t="s">
        <v>86</v>
      </c>
      <c r="B24" s="27" t="s">
        <v>87</v>
      </c>
      <c r="C24" s="1">
        <v>337</v>
      </c>
      <c r="D24" s="1">
        <v>100</v>
      </c>
      <c r="E24" s="1">
        <v>422</v>
      </c>
      <c r="F24" s="1">
        <v>433</v>
      </c>
      <c r="G24" s="111">
        <v>280</v>
      </c>
    </row>
    <row r="25" spans="1:7" x14ac:dyDescent="0.3">
      <c r="A25" s="11" t="s">
        <v>31</v>
      </c>
      <c r="B25" s="27" t="s">
        <v>88</v>
      </c>
      <c r="C25" s="1">
        <v>465</v>
      </c>
      <c r="D25" s="1">
        <v>138</v>
      </c>
      <c r="E25" s="1">
        <v>581</v>
      </c>
      <c r="F25" s="1">
        <v>597</v>
      </c>
      <c r="G25" s="111">
        <v>386</v>
      </c>
    </row>
    <row r="26" spans="1:7" x14ac:dyDescent="0.3">
      <c r="A26" s="11" t="s">
        <v>32</v>
      </c>
      <c r="B26" s="27" t="s">
        <v>89</v>
      </c>
      <c r="C26" s="1">
        <v>565</v>
      </c>
      <c r="D26" s="1">
        <v>167</v>
      </c>
      <c r="E26" s="1">
        <v>707</v>
      </c>
      <c r="F26" s="1">
        <v>725</v>
      </c>
      <c r="G26" s="111">
        <v>469</v>
      </c>
    </row>
    <row r="27" spans="1:7" x14ac:dyDescent="0.3">
      <c r="A27" s="11" t="s">
        <v>33</v>
      </c>
      <c r="B27" s="27" t="s">
        <v>90</v>
      </c>
      <c r="C27" s="1">
        <v>651</v>
      </c>
      <c r="D27" s="1">
        <v>193</v>
      </c>
      <c r="E27" s="1">
        <v>813</v>
      </c>
      <c r="F27" s="1">
        <v>835</v>
      </c>
      <c r="G27" s="111">
        <v>539</v>
      </c>
    </row>
    <row r="28" spans="1:7" x14ac:dyDescent="0.3">
      <c r="A28" s="11" t="s">
        <v>34</v>
      </c>
      <c r="B28" s="27" t="s">
        <v>91</v>
      </c>
      <c r="C28" s="1">
        <v>717</v>
      </c>
      <c r="D28" s="1">
        <v>212</v>
      </c>
      <c r="E28" s="1">
        <v>897</v>
      </c>
      <c r="F28" s="1">
        <v>920</v>
      </c>
      <c r="G28" s="111">
        <v>595</v>
      </c>
    </row>
    <row r="29" spans="1:7" x14ac:dyDescent="0.3">
      <c r="A29" s="11" t="s">
        <v>35</v>
      </c>
      <c r="B29" s="27" t="s">
        <v>92</v>
      </c>
      <c r="C29" s="1">
        <v>778</v>
      </c>
      <c r="D29" s="1">
        <v>230</v>
      </c>
      <c r="E29" s="1">
        <v>973</v>
      </c>
      <c r="F29" s="1">
        <v>998</v>
      </c>
      <c r="G29" s="111">
        <v>645</v>
      </c>
    </row>
    <row r="30" spans="1:7" x14ac:dyDescent="0.3">
      <c r="A30" s="11" t="s">
        <v>36</v>
      </c>
      <c r="B30" s="27" t="s">
        <v>93</v>
      </c>
      <c r="C30" s="1">
        <v>833</v>
      </c>
      <c r="D30" s="1">
        <v>247</v>
      </c>
      <c r="E30" s="1">
        <v>1041</v>
      </c>
      <c r="F30" s="1">
        <v>1069</v>
      </c>
      <c r="G30" s="111">
        <v>690</v>
      </c>
    </row>
    <row r="31" spans="1:7" x14ac:dyDescent="0.3">
      <c r="A31" s="11" t="s">
        <v>37</v>
      </c>
      <c r="B31" s="27" t="s">
        <v>94</v>
      </c>
      <c r="C31" s="1">
        <v>879</v>
      </c>
      <c r="D31" s="1">
        <v>260</v>
      </c>
      <c r="E31" s="1">
        <v>1098</v>
      </c>
      <c r="F31" s="1">
        <v>1127</v>
      </c>
      <c r="G31" s="111">
        <v>728</v>
      </c>
    </row>
    <row r="32" spans="1:7" x14ac:dyDescent="0.3">
      <c r="A32" s="11" t="s">
        <v>38</v>
      </c>
      <c r="B32" s="27" t="s">
        <v>95</v>
      </c>
      <c r="C32" s="1">
        <v>924</v>
      </c>
      <c r="D32" s="1">
        <v>274</v>
      </c>
      <c r="E32" s="1">
        <v>1155</v>
      </c>
      <c r="F32" s="1">
        <v>1186</v>
      </c>
      <c r="G32" s="111">
        <v>766</v>
      </c>
    </row>
    <row r="33" spans="1:7" x14ac:dyDescent="0.3">
      <c r="A33" s="11" t="s">
        <v>39</v>
      </c>
      <c r="B33" s="27" t="s">
        <v>96</v>
      </c>
      <c r="C33" s="1">
        <v>961</v>
      </c>
      <c r="D33" s="1">
        <v>284</v>
      </c>
      <c r="E33" s="1">
        <v>1201</v>
      </c>
      <c r="F33" s="1">
        <v>1232</v>
      </c>
      <c r="G33" s="111">
        <v>796</v>
      </c>
    </row>
    <row r="34" spans="1:7" x14ac:dyDescent="0.3">
      <c r="A34" s="11" t="s">
        <v>40</v>
      </c>
      <c r="B34" s="27" t="s">
        <v>97</v>
      </c>
      <c r="C34" s="1">
        <v>997</v>
      </c>
      <c r="D34" s="1">
        <v>295</v>
      </c>
      <c r="E34" s="1">
        <v>1246</v>
      </c>
      <c r="F34" s="1">
        <v>1279</v>
      </c>
      <c r="G34" s="111">
        <v>827</v>
      </c>
    </row>
    <row r="35" spans="1:7" x14ac:dyDescent="0.3">
      <c r="A35" s="11" t="s">
        <v>41</v>
      </c>
      <c r="B35" s="27" t="s">
        <v>98</v>
      </c>
      <c r="C35" s="1">
        <v>1031</v>
      </c>
      <c r="D35" s="1">
        <v>305</v>
      </c>
      <c r="E35" s="1">
        <v>1288</v>
      </c>
      <c r="F35" s="1">
        <v>1322</v>
      </c>
      <c r="G35" s="111">
        <v>854</v>
      </c>
    </row>
    <row r="36" spans="1:7" x14ac:dyDescent="0.3">
      <c r="A36" s="11" t="s">
        <v>42</v>
      </c>
      <c r="B36" s="27" t="s">
        <v>99</v>
      </c>
      <c r="C36" s="1">
        <v>1064</v>
      </c>
      <c r="D36" s="1">
        <v>315</v>
      </c>
      <c r="E36" s="1">
        <v>1330</v>
      </c>
      <c r="F36" s="1">
        <v>1365</v>
      </c>
      <c r="G36" s="111">
        <v>882</v>
      </c>
    </row>
    <row r="37" spans="1:7" x14ac:dyDescent="0.3">
      <c r="A37" s="11" t="s">
        <v>43</v>
      </c>
      <c r="B37" s="27" t="s">
        <v>100</v>
      </c>
      <c r="C37" s="1">
        <v>1091</v>
      </c>
      <c r="D37" s="1">
        <v>323</v>
      </c>
      <c r="E37" s="1">
        <v>1364</v>
      </c>
      <c r="F37" s="1">
        <v>1400</v>
      </c>
      <c r="G37" s="111">
        <v>905</v>
      </c>
    </row>
    <row r="38" spans="1:7" ht="15" thickBot="1" x14ac:dyDescent="0.35">
      <c r="A38" s="13" t="s">
        <v>44</v>
      </c>
      <c r="B38" s="93" t="s">
        <v>101</v>
      </c>
      <c r="C38" s="95">
        <v>1119</v>
      </c>
      <c r="D38" s="95">
        <v>331</v>
      </c>
      <c r="E38" s="95">
        <v>1398</v>
      </c>
      <c r="F38" s="95">
        <v>1435</v>
      </c>
      <c r="G38" s="112">
        <v>927</v>
      </c>
    </row>
    <row r="39" spans="1:7" ht="28.8" x14ac:dyDescent="0.3">
      <c r="A39" s="113" t="s">
        <v>29</v>
      </c>
      <c r="B39" s="114" t="s">
        <v>29</v>
      </c>
      <c r="C39" s="97" t="s">
        <v>103</v>
      </c>
      <c r="D39" s="97" t="s">
        <v>104</v>
      </c>
      <c r="E39" s="97" t="s">
        <v>105</v>
      </c>
      <c r="F39" s="97" t="s">
        <v>106</v>
      </c>
      <c r="G39" s="115" t="s">
        <v>57</v>
      </c>
    </row>
    <row r="40" spans="1:7" x14ac:dyDescent="0.3">
      <c r="A40" s="116" t="s">
        <v>86</v>
      </c>
      <c r="B40" s="117" t="s">
        <v>140</v>
      </c>
      <c r="C40" s="91">
        <v>605</v>
      </c>
      <c r="D40" s="91">
        <v>235</v>
      </c>
      <c r="E40" s="91">
        <v>190</v>
      </c>
      <c r="F40" s="91">
        <v>301</v>
      </c>
      <c r="G40" s="118">
        <v>453</v>
      </c>
    </row>
    <row r="41" spans="1:7" x14ac:dyDescent="0.3">
      <c r="A41" s="116" t="s">
        <v>31</v>
      </c>
      <c r="B41" s="117" t="s">
        <v>88</v>
      </c>
      <c r="C41" s="91">
        <v>834</v>
      </c>
      <c r="D41" s="91">
        <v>324</v>
      </c>
      <c r="E41" s="91">
        <v>262</v>
      </c>
      <c r="F41" s="91">
        <v>415</v>
      </c>
      <c r="G41" s="118">
        <v>624</v>
      </c>
    </row>
    <row r="42" spans="1:7" x14ac:dyDescent="0.3">
      <c r="A42" s="116" t="s">
        <v>32</v>
      </c>
      <c r="B42" s="117" t="s">
        <v>89</v>
      </c>
      <c r="C42" s="91">
        <v>1014</v>
      </c>
      <c r="D42" s="91">
        <v>394</v>
      </c>
      <c r="E42" s="91">
        <v>318</v>
      </c>
      <c r="F42" s="91">
        <v>504</v>
      </c>
      <c r="G42" s="118">
        <v>759</v>
      </c>
    </row>
    <row r="43" spans="1:7" x14ac:dyDescent="0.3">
      <c r="A43" s="116" t="s">
        <v>33</v>
      </c>
      <c r="B43" s="117" t="s">
        <v>90</v>
      </c>
      <c r="C43" s="91">
        <v>1166</v>
      </c>
      <c r="D43" s="91">
        <v>454</v>
      </c>
      <c r="E43" s="91">
        <v>366</v>
      </c>
      <c r="F43" s="91">
        <v>580</v>
      </c>
      <c r="G43" s="118">
        <v>873</v>
      </c>
    </row>
    <row r="44" spans="1:7" x14ac:dyDescent="0.3">
      <c r="A44" s="116" t="s">
        <v>34</v>
      </c>
      <c r="B44" s="117" t="s">
        <v>91</v>
      </c>
      <c r="C44" s="91">
        <v>1286</v>
      </c>
      <c r="D44" s="91">
        <v>500</v>
      </c>
      <c r="E44" s="91">
        <v>404</v>
      </c>
      <c r="F44" s="91">
        <v>640</v>
      </c>
      <c r="G44" s="118">
        <v>963</v>
      </c>
    </row>
    <row r="45" spans="1:7" x14ac:dyDescent="0.3">
      <c r="A45" s="116" t="s">
        <v>35</v>
      </c>
      <c r="B45" s="117" t="s">
        <v>92</v>
      </c>
      <c r="C45" s="91">
        <v>1395</v>
      </c>
      <c r="D45" s="91">
        <v>543</v>
      </c>
      <c r="E45" s="91">
        <v>438</v>
      </c>
      <c r="F45" s="91">
        <v>694</v>
      </c>
      <c r="G45" s="118">
        <v>1044</v>
      </c>
    </row>
    <row r="46" spans="1:7" x14ac:dyDescent="0.3">
      <c r="A46" s="116" t="s">
        <v>36</v>
      </c>
      <c r="B46" s="117" t="s">
        <v>93</v>
      </c>
      <c r="C46" s="91">
        <v>1493</v>
      </c>
      <c r="D46" s="91">
        <v>581</v>
      </c>
      <c r="E46" s="91">
        <v>469</v>
      </c>
      <c r="F46" s="91">
        <v>743</v>
      </c>
      <c r="G46" s="118">
        <v>1118</v>
      </c>
    </row>
    <row r="47" spans="1:7" x14ac:dyDescent="0.3">
      <c r="A47" s="116" t="s">
        <v>37</v>
      </c>
      <c r="B47" s="117" t="s">
        <v>94</v>
      </c>
      <c r="C47" s="91">
        <v>1575</v>
      </c>
      <c r="D47" s="91">
        <v>613</v>
      </c>
      <c r="E47" s="91">
        <v>494</v>
      </c>
      <c r="F47" s="91">
        <v>783</v>
      </c>
      <c r="G47" s="118">
        <v>1179</v>
      </c>
    </row>
    <row r="48" spans="1:7" x14ac:dyDescent="0.3">
      <c r="A48" s="116" t="s">
        <v>38</v>
      </c>
      <c r="B48" s="117" t="s">
        <v>95</v>
      </c>
      <c r="C48" s="91">
        <v>1657</v>
      </c>
      <c r="D48" s="91">
        <v>644</v>
      </c>
      <c r="E48" s="91">
        <v>520</v>
      </c>
      <c r="F48" s="91">
        <v>824</v>
      </c>
      <c r="G48" s="118">
        <v>1240</v>
      </c>
    </row>
    <row r="49" spans="1:7" x14ac:dyDescent="0.3">
      <c r="A49" s="116" t="s">
        <v>39</v>
      </c>
      <c r="B49" s="117" t="s">
        <v>96</v>
      </c>
      <c r="C49" s="91">
        <v>1722</v>
      </c>
      <c r="D49" s="91">
        <v>670</v>
      </c>
      <c r="E49" s="91">
        <v>540</v>
      </c>
      <c r="F49" s="91">
        <v>856</v>
      </c>
      <c r="G49" s="118">
        <v>1289</v>
      </c>
    </row>
    <row r="50" spans="1:7" x14ac:dyDescent="0.3">
      <c r="A50" s="116" t="s">
        <v>40</v>
      </c>
      <c r="B50" s="117" t="s">
        <v>97</v>
      </c>
      <c r="C50" s="91">
        <v>1788</v>
      </c>
      <c r="D50" s="91">
        <v>695</v>
      </c>
      <c r="E50" s="91">
        <v>561</v>
      </c>
      <c r="F50" s="91">
        <v>889</v>
      </c>
      <c r="G50" s="118">
        <v>1338</v>
      </c>
    </row>
    <row r="51" spans="1:7" x14ac:dyDescent="0.3">
      <c r="A51" s="116" t="s">
        <v>41</v>
      </c>
      <c r="B51" s="117" t="s">
        <v>98</v>
      </c>
      <c r="C51" s="91">
        <v>1848</v>
      </c>
      <c r="D51" s="91">
        <v>719</v>
      </c>
      <c r="E51" s="91">
        <v>580</v>
      </c>
      <c r="F51" s="91">
        <v>919</v>
      </c>
      <c r="G51" s="118">
        <v>1383</v>
      </c>
    </row>
    <row r="52" spans="1:7" x14ac:dyDescent="0.3">
      <c r="A52" s="116" t="s">
        <v>42</v>
      </c>
      <c r="B52" s="117" t="s">
        <v>99</v>
      </c>
      <c r="C52" s="91">
        <v>1908</v>
      </c>
      <c r="D52" s="91">
        <v>742</v>
      </c>
      <c r="E52" s="91">
        <v>599</v>
      </c>
      <c r="F52" s="91">
        <v>949</v>
      </c>
      <c r="G52" s="118">
        <v>1428</v>
      </c>
    </row>
    <row r="53" spans="1:7" x14ac:dyDescent="0.3">
      <c r="A53" s="116" t="s">
        <v>43</v>
      </c>
      <c r="B53" s="117" t="s">
        <v>100</v>
      </c>
      <c r="C53" s="91">
        <v>1957</v>
      </c>
      <c r="D53" s="91">
        <v>761</v>
      </c>
      <c r="E53" s="91">
        <v>614</v>
      </c>
      <c r="F53" s="91">
        <v>973</v>
      </c>
      <c r="G53" s="118">
        <v>1465</v>
      </c>
    </row>
    <row r="54" spans="1:7" ht="15" thickBot="1" x14ac:dyDescent="0.35">
      <c r="A54" s="119" t="s">
        <v>44</v>
      </c>
      <c r="B54" s="120" t="s">
        <v>101</v>
      </c>
      <c r="C54" s="94">
        <v>2006</v>
      </c>
      <c r="D54" s="94">
        <v>780</v>
      </c>
      <c r="E54" s="94">
        <v>629</v>
      </c>
      <c r="F54" s="94">
        <v>997</v>
      </c>
      <c r="G54" s="121">
        <v>1501</v>
      </c>
    </row>
    <row r="56" spans="1:7" x14ac:dyDescent="0.3">
      <c r="A56" t="s">
        <v>15</v>
      </c>
    </row>
    <row r="57" spans="1:7" x14ac:dyDescent="0.3">
      <c r="A57" t="s">
        <v>51</v>
      </c>
    </row>
    <row r="58" spans="1:7" x14ac:dyDescent="0.3">
      <c r="A58" t="s">
        <v>18</v>
      </c>
    </row>
    <row r="59" spans="1:7" x14ac:dyDescent="0.3">
      <c r="A59" t="s">
        <v>19</v>
      </c>
    </row>
    <row r="60" spans="1:7" x14ac:dyDescent="0.3">
      <c r="A60" t="s">
        <v>20</v>
      </c>
    </row>
    <row r="61" spans="1:7" x14ac:dyDescent="0.3">
      <c r="A61" t="s">
        <v>21</v>
      </c>
    </row>
    <row r="62" spans="1:7" x14ac:dyDescent="0.3">
      <c r="A62" t="s">
        <v>107</v>
      </c>
    </row>
    <row r="64" spans="1:7" x14ac:dyDescent="0.3">
      <c r="A64" t="s">
        <v>108</v>
      </c>
    </row>
    <row r="65" spans="1:3" x14ac:dyDescent="0.3">
      <c r="A65" t="s">
        <v>109</v>
      </c>
    </row>
    <row r="66" spans="1:3" x14ac:dyDescent="0.3">
      <c r="A66" t="s">
        <v>53</v>
      </c>
    </row>
    <row r="68" spans="1:3" x14ac:dyDescent="0.3">
      <c r="A68" t="s">
        <v>85</v>
      </c>
    </row>
    <row r="69" spans="1:3" x14ac:dyDescent="0.3">
      <c r="A69" t="s">
        <v>109</v>
      </c>
    </row>
    <row r="70" spans="1:3" x14ac:dyDescent="0.3">
      <c r="A70" t="s">
        <v>53</v>
      </c>
    </row>
    <row r="72" spans="1:3" x14ac:dyDescent="0.3">
      <c r="A72" t="s">
        <v>110</v>
      </c>
    </row>
    <row r="73" spans="1:3" x14ac:dyDescent="0.3">
      <c r="A73" t="s">
        <v>142</v>
      </c>
    </row>
    <row r="74" spans="1:3" x14ac:dyDescent="0.3">
      <c r="A74" t="s">
        <v>104</v>
      </c>
    </row>
    <row r="75" spans="1:3" x14ac:dyDescent="0.3">
      <c r="A75" t="s">
        <v>105</v>
      </c>
    </row>
    <row r="76" spans="1:3" x14ac:dyDescent="0.3">
      <c r="A76" t="s">
        <v>106</v>
      </c>
    </row>
    <row r="77" spans="1:3" x14ac:dyDescent="0.3">
      <c r="A77" t="s">
        <v>57</v>
      </c>
    </row>
    <row r="79" spans="1:3" x14ac:dyDescent="0.3">
      <c r="A79" s="4" t="s">
        <v>111</v>
      </c>
      <c r="B79" s="4" t="s">
        <v>112</v>
      </c>
      <c r="C79" s="27"/>
    </row>
    <row r="80" spans="1:3" x14ac:dyDescent="0.3">
      <c r="A80">
        <v>1</v>
      </c>
      <c r="B80" s="28">
        <v>750</v>
      </c>
      <c r="C80" s="27" t="s">
        <v>87</v>
      </c>
    </row>
    <row r="81" spans="1:3" x14ac:dyDescent="0.3">
      <c r="A81">
        <v>751</v>
      </c>
      <c r="B81" s="28">
        <v>1000</v>
      </c>
      <c r="C81" s="27" t="s">
        <v>88</v>
      </c>
    </row>
    <row r="82" spans="1:3" x14ac:dyDescent="0.3">
      <c r="A82">
        <v>1001</v>
      </c>
      <c r="B82" s="28">
        <v>1250</v>
      </c>
      <c r="C82" s="27" t="s">
        <v>89</v>
      </c>
    </row>
    <row r="83" spans="1:3" x14ac:dyDescent="0.3">
      <c r="A83">
        <v>1251</v>
      </c>
      <c r="B83" s="28">
        <v>1500</v>
      </c>
      <c r="C83" s="27" t="s">
        <v>90</v>
      </c>
    </row>
    <row r="84" spans="1:3" x14ac:dyDescent="0.3">
      <c r="A84">
        <v>1501</v>
      </c>
      <c r="B84" s="28">
        <v>1750</v>
      </c>
      <c r="C84" s="27" t="s">
        <v>91</v>
      </c>
    </row>
    <row r="85" spans="1:3" x14ac:dyDescent="0.3">
      <c r="A85">
        <v>1751</v>
      </c>
      <c r="B85" s="28">
        <v>2000</v>
      </c>
      <c r="C85" s="27" t="s">
        <v>92</v>
      </c>
    </row>
    <row r="86" spans="1:3" x14ac:dyDescent="0.3">
      <c r="A86">
        <v>2001</v>
      </c>
      <c r="B86" s="28">
        <v>2250</v>
      </c>
      <c r="C86" s="27" t="s">
        <v>93</v>
      </c>
    </row>
    <row r="87" spans="1:3" x14ac:dyDescent="0.3">
      <c r="A87">
        <v>2251</v>
      </c>
      <c r="B87" s="28">
        <v>2500</v>
      </c>
      <c r="C87" s="27" t="s">
        <v>94</v>
      </c>
    </row>
    <row r="88" spans="1:3" x14ac:dyDescent="0.3">
      <c r="A88">
        <v>2501</v>
      </c>
      <c r="B88" s="28">
        <v>2750</v>
      </c>
      <c r="C88" s="27" t="s">
        <v>95</v>
      </c>
    </row>
    <row r="89" spans="1:3" x14ac:dyDescent="0.3">
      <c r="A89">
        <v>2751</v>
      </c>
      <c r="B89" s="28">
        <v>3000</v>
      </c>
      <c r="C89" s="27" t="s">
        <v>96</v>
      </c>
    </row>
    <row r="90" spans="1:3" x14ac:dyDescent="0.3">
      <c r="A90">
        <v>3001</v>
      </c>
      <c r="B90" s="28">
        <v>3250</v>
      </c>
      <c r="C90" s="27" t="s">
        <v>97</v>
      </c>
    </row>
    <row r="91" spans="1:3" x14ac:dyDescent="0.3">
      <c r="A91">
        <v>3251</v>
      </c>
      <c r="B91" s="28">
        <v>3500</v>
      </c>
      <c r="C91" s="27" t="s">
        <v>98</v>
      </c>
    </row>
    <row r="92" spans="1:3" x14ac:dyDescent="0.3">
      <c r="A92">
        <v>3501</v>
      </c>
      <c r="B92" s="28">
        <v>3750</v>
      </c>
      <c r="C92" s="27" t="s">
        <v>99</v>
      </c>
    </row>
    <row r="93" spans="1:3" x14ac:dyDescent="0.3">
      <c r="A93">
        <v>3751</v>
      </c>
      <c r="B93" s="28">
        <v>4000</v>
      </c>
      <c r="C93" s="27" t="s">
        <v>100</v>
      </c>
    </row>
    <row r="94" spans="1:3" x14ac:dyDescent="0.3">
      <c r="A94">
        <v>4001</v>
      </c>
      <c r="B94" s="28">
        <v>1000000</v>
      </c>
      <c r="C94" s="27" t="s">
        <v>101</v>
      </c>
    </row>
  </sheetData>
  <sheetProtection algorithmName="SHA-512" hashValue="pkz3rxYf9uuQmuVlmvLhxg7tYPNrD5qT6AxJw2Q+17E6q4jbaGwZIPI8n5Qng7j1AFodPEPDa4lGZu3Q0ZiVaQ==" saltValue="0F0Sa3VRkrVDHWI+8at2P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9B31B04429924493818AC29C960FCE" ma:contentTypeVersion="15" ma:contentTypeDescription="Create a new document." ma:contentTypeScope="" ma:versionID="9619f7e610fbee961b10622a06b56fa8">
  <xsd:schema xmlns:xsd="http://www.w3.org/2001/XMLSchema" xmlns:xs="http://www.w3.org/2001/XMLSchema" xmlns:p="http://schemas.microsoft.com/office/2006/metadata/properties" xmlns:ns2="d3b0d2b4-35ae-4d90-b021-13d44d19e0e7" xmlns:ns3="06fa8664-7bdd-4719-a8ba-f9d5f998164f" targetNamespace="http://schemas.microsoft.com/office/2006/metadata/properties" ma:root="true" ma:fieldsID="55ed0ef277304214600e614f14d10093" ns2:_="" ns3:_="">
    <xsd:import namespace="d3b0d2b4-35ae-4d90-b021-13d44d19e0e7"/>
    <xsd:import namespace="06fa8664-7bdd-4719-a8ba-f9d5f998164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SearchProperties" minOccurs="0"/>
                <xsd:element ref="ns2:MediaServiceDateTaken" minOccurs="0"/>
                <xsd:element ref="ns2:MediaLengthInSeconds" minOccurs="0"/>
                <xsd:element ref="ns2: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b0d2b4-35ae-4d90-b021-13d44d19e0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e8f95e1-b47f-4030-a8fa-ecc0ae1b658d"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Note" ma:index="22" nillable="true" ma:displayName="Note" ma:format="Dropdown" ma:internalName="No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fa8664-7bdd-4719-a8ba-f9d5f998164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86e3c05-8b1a-4efd-b802-bda6b7a11617}" ma:internalName="TaxCatchAll" ma:showField="CatchAllData" ma:web="06fa8664-7bdd-4719-a8ba-f9d5f998164f">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3b0d2b4-35ae-4d90-b021-13d44d19e0e7">
      <Terms xmlns="http://schemas.microsoft.com/office/infopath/2007/PartnerControls"/>
    </lcf76f155ced4ddcb4097134ff3c332f>
    <TaxCatchAll xmlns="06fa8664-7bdd-4719-a8ba-f9d5f998164f" xsi:nil="true"/>
    <Note xmlns="d3b0d2b4-35ae-4d90-b021-13d44d19e0e7">10/22/25 JJ - This workbook contains the updated schedules as of 10/1/2025.  Removing Admin, Gen Government and Parks Fees from the Schedule, Estimator and Combined worksheets. NO UPDATES have been made to square footage calcs.  Corrected Service Area</No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A8FF55-12F3-45D4-90DD-839A86B1D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b0d2b4-35ae-4d90-b021-13d44d19e0e7"/>
    <ds:schemaRef ds:uri="06fa8664-7bdd-4719-a8ba-f9d5f9981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118DB5-C7B0-4D38-BD53-A8E6DB0BBE76}">
  <ds:schemaRefs>
    <ds:schemaRef ds:uri="http://schemas.microsoft.com/office/2006/metadata/properties"/>
    <ds:schemaRef ds:uri="http://schemas.microsoft.com/office/2006/documentManagement/types"/>
    <ds:schemaRef ds:uri="http://purl.org/dc/terms/"/>
    <ds:schemaRef ds:uri="http://purl.org/dc/dcmitype/"/>
    <ds:schemaRef ds:uri="06fa8664-7bdd-4719-a8ba-f9d5f998164f"/>
    <ds:schemaRef ds:uri="d3b0d2b4-35ae-4d90-b021-13d44d19e0e7"/>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79977DE2-CE8D-4774-A941-AA3F3D21B3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Schedule</vt:lpstr>
      <vt:lpstr>Estimator</vt:lpstr>
      <vt:lpstr>Math</vt:lpstr>
      <vt:lpstr>Combined</vt:lpstr>
      <vt:lpstr>List</vt:lpstr>
      <vt:lpstr>Category</vt:lpstr>
    </vt:vector>
  </TitlesOfParts>
  <Manager/>
  <Company>Missoula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Flanna McLarty</dc:creator>
  <cp:keywords/>
  <dc:description/>
  <cp:lastModifiedBy>Jill Johnson</cp:lastModifiedBy>
  <cp:revision/>
  <cp:lastPrinted>2025-10-01T14:29:35Z</cp:lastPrinted>
  <dcterms:created xsi:type="dcterms:W3CDTF">2023-12-20T22:38:42Z</dcterms:created>
  <dcterms:modified xsi:type="dcterms:W3CDTF">2025-10-31T20:13:48Z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0x010100E39B31B04429924493818AC29C960FCE</vt:lpwstr>
  </property>
  <property fmtid="{D5CDD505-2E9C-101B-9397-08002B2CF9AE}" pid="3" name="MediaServiceImageTags">
    <vt:lpwstr/>
  </property>
</Properties>
</file>